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F:\Calculadora Registre Petjada Carboni\24-05-2022 DOCS DEF\"/>
    </mc:Choice>
  </mc:AlternateContent>
  <bookViews>
    <workbookView xWindow="0" yWindow="0" windowWidth="28800" windowHeight="12435" tabRatio="908"/>
  </bookViews>
  <sheets>
    <sheet name="PORTADA" sheetId="1" r:id="rId1"/>
    <sheet name="0_Datos generales organización" sheetId="2" r:id="rId2"/>
    <sheet name="1_Combustibles fósiles" sheetId="3" r:id="rId3"/>
    <sheet name="2_Fluorados" sheetId="4" r:id="rId4"/>
    <sheet name="3_Emisiones proceso" sheetId="5" r:id="rId5"/>
    <sheet name="4.1_Electricidad Illes Balears" sheetId="6" r:id="rId6"/>
    <sheet name="4.2_Electricidad España" sheetId="7" r:id="rId7"/>
    <sheet name="5_Información adicional" sheetId="8" r:id="rId8"/>
    <sheet name="6.1_Resultados Illes Balears" sheetId="9" r:id="rId9"/>
    <sheet name="6.2_Resultados España" sheetId="10" r:id="rId10"/>
    <sheet name="Dades" sheetId="11" state="hidden" r:id="rId11"/>
  </sheets>
  <definedNames>
    <definedName name="_Com2011">Dades!$J$223:$J$247</definedName>
    <definedName name="_Com2012">Dades!$L$223:$L$249</definedName>
    <definedName name="_Com2013">Dades!$N$223:$N$259</definedName>
    <definedName name="_Com2014">Dades!$P$223:$P$265</definedName>
    <definedName name="_Com2015">Dades!$R$223:$R$289</definedName>
    <definedName name="_Com2016">Dades!$T$223:$T$342</definedName>
    <definedName name="_Com2017">Dades!$V$223:$V$346</definedName>
    <definedName name="_Com2018">Dades!$X$223:$X$397</definedName>
    <definedName name="_Com2019">Dades!$Z$223:$Z$422</definedName>
    <definedName name="_Com2020">Dades!$AB$223:$AB$467</definedName>
    <definedName name="_Mix2011">Dades!$K$223:$K$247</definedName>
    <definedName name="_Mix2012">Dades!$M$223:$M$249</definedName>
    <definedName name="_Mix2013">Dades!$O$223:$O$259</definedName>
    <definedName name="_Mix2014">Dades!$Q$223:$Q$265</definedName>
    <definedName name="_Mix2015">Dades!$S$223:$S$289</definedName>
    <definedName name="_Mix2016">Dades!$U$223:$U$342</definedName>
    <definedName name="_Mix2017">Dades!$W$223:$W$346</definedName>
    <definedName name="_Mix2018">Dades!$Y$223:$Y$397</definedName>
    <definedName name="_Mix2019">Dades!$AA$223:$AA$422</definedName>
    <definedName name="_Mix2020">Dades!$AC$223:$AC$467</definedName>
    <definedName name="_MixIB">Dades!$T$637:$X$652</definedName>
    <definedName name="Año">Dades!$C$7:$C$16</definedName>
    <definedName name="GdO_1">Dades!$I$225</definedName>
    <definedName name="GdO_2">Dades!$I$223:$I$225</definedName>
    <definedName name="Lista_Comb_fósiles_fijos_2011">Dades!$C$32:$C$56</definedName>
    <definedName name="Lista_Comb_fósiles_fijos_2012">Dades!$D$32:$D$56</definedName>
    <definedName name="Lista_Comb_fósiles_fijos_2013">Dades!$E$32:$E$56</definedName>
    <definedName name="Lista_Comb_fósiles_fijos_2014">Dades!$F$32:$F$56</definedName>
    <definedName name="Lista_Comb_fósiles_fijos_2015">Dades!$G$32:$G$56</definedName>
    <definedName name="Lista_Comb_fósiles_fijos_2016">Dades!$H$32:$H$56</definedName>
    <definedName name="Lista_Comb_fósiles_fijos_2017">Dades!$I$32:$I$56</definedName>
    <definedName name="Lista_Comb_fósiles_fijos_2018">Dades!$J$32:$J$56</definedName>
    <definedName name="Lista_Comb_fósiles_fijos_2019">Dades!$K$32:$K$54</definedName>
    <definedName name="Lista_Comb_fósiles_fijos_2020">Dades!$L$32:$L$54</definedName>
    <definedName name="Lista_Comb_fósiles_vehículos_2011">Dades!$C$62:$C$80</definedName>
    <definedName name="Lista_Comb_fósiles_vehículos_2012">Dades!$D$62:$D$80</definedName>
    <definedName name="Lista_Comb_fósiles_vehículos_2013">Dades!$E$62:$E$80</definedName>
    <definedName name="Lista_Comb_fósiles_vehículos_2014">Dades!$F$62:$F$80</definedName>
    <definedName name="Lista_Comb_fósiles_vehículos_2015">Dades!$G$62:$G$80</definedName>
    <definedName name="Lista_Comb_fósiles_vehículos_2016">Dades!$H$62:$H$80</definedName>
    <definedName name="Lista_Comb_fósiles_vehículos_2017">Dades!$I$62:$I$80</definedName>
    <definedName name="Lista_Comb_fósiles_vehículos_2018">Dades!$J$62:$J$80</definedName>
    <definedName name="Lista_Comb_fósiles_vehículos_2019">Dades!$K$62:$K$78</definedName>
    <definedName name="Lista_Comb_fósiles_vehículos_2020">Dades!$L$62:$L$78</definedName>
    <definedName name="NombrePrep">Dades!$E$171:$E$215</definedName>
    <definedName name="Sector">Dades!$E$7:$E$27</definedName>
    <definedName name="Tipo_Biomasa">Dades!$D$511:$D$516</definedName>
    <definedName name="Tipo_ER">Dades!$C$511:$C$515</definedName>
    <definedName name="TipoOrg">Dades!$D$7:$D$14</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F15" i="5" l="1"/>
  <c r="F16" i="5"/>
  <c r="F17" i="5"/>
  <c r="F18" i="5"/>
  <c r="F19" i="5"/>
  <c r="F20" i="5"/>
  <c r="F21" i="5"/>
  <c r="F22" i="5"/>
  <c r="F23" i="5"/>
  <c r="F24" i="5"/>
  <c r="F25" i="5"/>
  <c r="F26" i="5"/>
  <c r="F27" i="5"/>
  <c r="F28" i="5"/>
  <c r="F29" i="5"/>
  <c r="F30" i="5"/>
  <c r="F31" i="5"/>
  <c r="F32" i="5"/>
  <c r="F33" i="5"/>
  <c r="F34" i="5"/>
  <c r="F35" i="5"/>
  <c r="AD665" i="11"/>
  <c r="AF665" i="11" s="1"/>
  <c r="AE665" i="11"/>
  <c r="AD666" i="11"/>
  <c r="AF666" i="11" s="1"/>
  <c r="AE666" i="11"/>
  <c r="AG666" i="11" s="1"/>
  <c r="AD667" i="11"/>
  <c r="AF667" i="11" s="1"/>
  <c r="AE667" i="11"/>
  <c r="AD668" i="11"/>
  <c r="AF668" i="11" s="1"/>
  <c r="AE668" i="11"/>
  <c r="AG668" i="11" s="1"/>
  <c r="AD669" i="11"/>
  <c r="AF669" i="11" s="1"/>
  <c r="AE669" i="11"/>
  <c r="AD670" i="11"/>
  <c r="AF670" i="11" s="1"/>
  <c r="AE670" i="11"/>
  <c r="AG670" i="11" s="1"/>
  <c r="AD671" i="11"/>
  <c r="AF671" i="11" s="1"/>
  <c r="AE671" i="11"/>
  <c r="AD672" i="11"/>
  <c r="AF672" i="11" s="1"/>
  <c r="AE672" i="11"/>
  <c r="AG672" i="11" s="1"/>
  <c r="AD673" i="11"/>
  <c r="AF673" i="11" s="1"/>
  <c r="AE673" i="11"/>
  <c r="AD674" i="11"/>
  <c r="AF674" i="11" s="1"/>
  <c r="AE674" i="11"/>
  <c r="AG674" i="11" s="1"/>
  <c r="AD675" i="11"/>
  <c r="AF675" i="11" s="1"/>
  <c r="AE675" i="11"/>
  <c r="AD676" i="11"/>
  <c r="AF676" i="11" s="1"/>
  <c r="AE676" i="11"/>
  <c r="AG676" i="11" s="1"/>
  <c r="AD677" i="11"/>
  <c r="AF677" i="11" s="1"/>
  <c r="AE677" i="11"/>
  <c r="AD678" i="11"/>
  <c r="AF678" i="11" s="1"/>
  <c r="AE678" i="11"/>
  <c r="AG678" i="11" s="1"/>
  <c r="AD679" i="11"/>
  <c r="AF679" i="11" s="1"/>
  <c r="AE679" i="11"/>
  <c r="AD680" i="11"/>
  <c r="AF680" i="11" s="1"/>
  <c r="AE680" i="11"/>
  <c r="AG680" i="11" s="1"/>
  <c r="AD681" i="11"/>
  <c r="AF681" i="11" s="1"/>
  <c r="AE681" i="11"/>
  <c r="AD682" i="11"/>
  <c r="AF682" i="11" s="1"/>
  <c r="AE682" i="11"/>
  <c r="AG682" i="11" s="1"/>
  <c r="AD683" i="11"/>
  <c r="AF683" i="11" s="1"/>
  <c r="AE683" i="11"/>
  <c r="AG683" i="11" l="1"/>
  <c r="AG681" i="11"/>
  <c r="AG679" i="11"/>
  <c r="AG677" i="11"/>
  <c r="AG675" i="11"/>
  <c r="AG673" i="11"/>
  <c r="AG671" i="11"/>
  <c r="AG669" i="11"/>
  <c r="AG667" i="11"/>
  <c r="AG665" i="11"/>
  <c r="I50" i="7"/>
  <c r="J50" i="7" s="1"/>
  <c r="I51" i="7"/>
  <c r="J51" i="7"/>
  <c r="I52" i="7"/>
  <c r="J52" i="7" s="1"/>
  <c r="I53" i="7"/>
  <c r="J53" i="7"/>
  <c r="I54" i="7"/>
  <c r="J54" i="7" s="1"/>
  <c r="I55" i="7"/>
  <c r="J55" i="7"/>
  <c r="I56" i="7"/>
  <c r="J56" i="7" s="1"/>
  <c r="I57" i="7"/>
  <c r="J57" i="7"/>
  <c r="I58" i="7"/>
  <c r="J58" i="7" s="1"/>
  <c r="I59" i="7"/>
  <c r="J59" i="7"/>
  <c r="I60" i="7"/>
  <c r="J60" i="7" s="1"/>
  <c r="I61" i="7"/>
  <c r="J61" i="7"/>
  <c r="I62" i="7"/>
  <c r="J62" i="7" s="1"/>
  <c r="I63" i="7"/>
  <c r="J63" i="7"/>
  <c r="I64" i="7"/>
  <c r="J64" i="7" s="1"/>
  <c r="I65" i="7"/>
  <c r="J65" i="7"/>
  <c r="I66" i="7"/>
  <c r="J66" i="7" s="1"/>
  <c r="I67" i="7"/>
  <c r="J67" i="7"/>
  <c r="I68" i="7"/>
  <c r="J68" i="7" s="1"/>
  <c r="J49" i="7"/>
  <c r="I49" i="7"/>
  <c r="I21" i="7"/>
  <c r="J21" i="7" s="1"/>
  <c r="I22" i="7"/>
  <c r="J22" i="7"/>
  <c r="I23" i="7"/>
  <c r="J23" i="7" s="1"/>
  <c r="I24" i="7"/>
  <c r="J24" i="7"/>
  <c r="I25" i="7"/>
  <c r="J25" i="7" s="1"/>
  <c r="I26" i="7"/>
  <c r="J26" i="7"/>
  <c r="I27" i="7"/>
  <c r="J27" i="7" s="1"/>
  <c r="I28" i="7"/>
  <c r="J28" i="7"/>
  <c r="I29" i="7"/>
  <c r="J29" i="7" s="1"/>
  <c r="I30" i="7"/>
  <c r="J30" i="7"/>
  <c r="I31" i="7"/>
  <c r="J31" i="7" s="1"/>
  <c r="I32" i="7"/>
  <c r="J32" i="7"/>
  <c r="I33" i="7"/>
  <c r="J33" i="7" s="1"/>
  <c r="I34" i="7"/>
  <c r="J34" i="7"/>
  <c r="I35" i="7"/>
  <c r="J35" i="7" s="1"/>
  <c r="I36" i="7"/>
  <c r="J36" i="7"/>
  <c r="I37" i="7"/>
  <c r="J37" i="7" s="1"/>
  <c r="I38" i="7"/>
  <c r="J38" i="7"/>
  <c r="I39" i="7"/>
  <c r="J39" i="7" s="1"/>
  <c r="I40" i="7"/>
  <c r="J40" i="7"/>
  <c r="I41" i="7"/>
  <c r="J41" i="7" s="1"/>
  <c r="J20" i="7"/>
  <c r="I20" i="7"/>
  <c r="J52" i="6"/>
  <c r="K52" i="6" s="1"/>
  <c r="J53" i="6"/>
  <c r="K53" i="6"/>
  <c r="J54" i="6"/>
  <c r="K54" i="6" s="1"/>
  <c r="J55" i="6"/>
  <c r="K55" i="6"/>
  <c r="J56" i="6"/>
  <c r="K56" i="6" s="1"/>
  <c r="J57" i="6"/>
  <c r="K57" i="6"/>
  <c r="J58" i="6"/>
  <c r="K58" i="6" s="1"/>
  <c r="J59" i="6"/>
  <c r="K59" i="6"/>
  <c r="J60" i="6"/>
  <c r="K60" i="6" s="1"/>
  <c r="J61" i="6"/>
  <c r="K61" i="6"/>
  <c r="J62" i="6"/>
  <c r="K62" i="6" s="1"/>
  <c r="J63" i="6"/>
  <c r="K63" i="6"/>
  <c r="J64" i="6"/>
  <c r="K64" i="6" s="1"/>
  <c r="J65" i="6"/>
  <c r="K65" i="6"/>
  <c r="J66" i="6"/>
  <c r="K66" i="6" s="1"/>
  <c r="J67" i="6"/>
  <c r="K67" i="6"/>
  <c r="J68" i="6"/>
  <c r="K68" i="6" s="1"/>
  <c r="J69" i="6"/>
  <c r="K69" i="6"/>
  <c r="J70" i="6"/>
  <c r="K70" i="6" s="1"/>
  <c r="K51" i="6"/>
  <c r="J51" i="6"/>
  <c r="I22" i="6"/>
  <c r="J22" i="6" s="1"/>
  <c r="I23" i="6"/>
  <c r="J23" i="6"/>
  <c r="I24" i="6"/>
  <c r="J24" i="6" s="1"/>
  <c r="I25" i="6"/>
  <c r="J25" i="6"/>
  <c r="I26" i="6"/>
  <c r="J26" i="6" s="1"/>
  <c r="I27" i="6"/>
  <c r="J27" i="6"/>
  <c r="I28" i="6"/>
  <c r="J28" i="6" s="1"/>
  <c r="I29" i="6"/>
  <c r="J29" i="6"/>
  <c r="I30" i="6"/>
  <c r="J30" i="6" s="1"/>
  <c r="I31" i="6"/>
  <c r="J31" i="6"/>
  <c r="I32" i="6"/>
  <c r="J32" i="6" s="1"/>
  <c r="I33" i="6"/>
  <c r="J33" i="6"/>
  <c r="I34" i="6"/>
  <c r="J34" i="6" s="1"/>
  <c r="I35" i="6"/>
  <c r="J35" i="6"/>
  <c r="I36" i="6"/>
  <c r="J36" i="6" s="1"/>
  <c r="I37" i="6"/>
  <c r="J37" i="6"/>
  <c r="I38" i="6"/>
  <c r="J38" i="6" s="1"/>
  <c r="I39" i="6"/>
  <c r="J39" i="6"/>
  <c r="I40" i="6"/>
  <c r="J40" i="6" s="1"/>
  <c r="I41" i="6"/>
  <c r="J41" i="6"/>
  <c r="I42" i="6"/>
  <c r="J42" i="6" s="1"/>
  <c r="J21" i="6"/>
  <c r="I21" i="6"/>
  <c r="K13" i="4"/>
  <c r="K14" i="4"/>
  <c r="K15" i="4"/>
  <c r="K16" i="4"/>
  <c r="K17" i="4"/>
  <c r="K18" i="4"/>
  <c r="K19" i="4"/>
  <c r="K20" i="4"/>
  <c r="K21" i="4"/>
  <c r="K22" i="4"/>
  <c r="K23" i="4"/>
  <c r="K24" i="4"/>
  <c r="K25" i="4"/>
  <c r="K26" i="4"/>
  <c r="K27" i="4"/>
  <c r="K28" i="4"/>
  <c r="K29" i="4"/>
  <c r="K30" i="4"/>
  <c r="K31" i="4"/>
  <c r="K32" i="4"/>
  <c r="K33" i="4"/>
  <c r="H13" i="4"/>
  <c r="H14" i="4"/>
  <c r="H15" i="4"/>
  <c r="H16" i="4"/>
  <c r="H17" i="4"/>
  <c r="H18" i="4"/>
  <c r="H19" i="4"/>
  <c r="H20" i="4"/>
  <c r="H21" i="4"/>
  <c r="H22" i="4"/>
  <c r="H23" i="4"/>
  <c r="H24" i="4"/>
  <c r="H25" i="4"/>
  <c r="H26" i="4"/>
  <c r="H27" i="4"/>
  <c r="H28" i="4"/>
  <c r="H29" i="4"/>
  <c r="H30" i="4"/>
  <c r="H31" i="4"/>
  <c r="H32" i="4"/>
  <c r="H33" i="4"/>
  <c r="K12" i="4"/>
  <c r="H12" i="4"/>
  <c r="U49" i="3"/>
  <c r="U50" i="3"/>
  <c r="U51" i="3"/>
  <c r="U52" i="3"/>
  <c r="U53" i="3"/>
  <c r="U54" i="3"/>
  <c r="U55" i="3"/>
  <c r="U56" i="3"/>
  <c r="U57" i="3"/>
  <c r="U58" i="3"/>
  <c r="U59" i="3"/>
  <c r="U60" i="3"/>
  <c r="U61" i="3"/>
  <c r="U62" i="3"/>
  <c r="U63" i="3"/>
  <c r="U64" i="3"/>
  <c r="U65" i="3"/>
  <c r="U66" i="3"/>
  <c r="U67" i="3"/>
  <c r="U48" i="3"/>
  <c r="O49" i="3"/>
  <c r="O50" i="3"/>
  <c r="O51" i="3"/>
  <c r="O52" i="3"/>
  <c r="O53" i="3"/>
  <c r="O54" i="3"/>
  <c r="O55" i="3"/>
  <c r="O56" i="3"/>
  <c r="O57" i="3"/>
  <c r="O58" i="3"/>
  <c r="O59" i="3"/>
  <c r="O60" i="3"/>
  <c r="O61" i="3"/>
  <c r="O62" i="3"/>
  <c r="O63" i="3"/>
  <c r="O64" i="3"/>
  <c r="O65" i="3"/>
  <c r="O66" i="3"/>
  <c r="O67" i="3"/>
  <c r="J49" i="3"/>
  <c r="K49" i="3"/>
  <c r="L49" i="3"/>
  <c r="J50" i="3"/>
  <c r="K50" i="3"/>
  <c r="L50" i="3"/>
  <c r="J51" i="3"/>
  <c r="K51" i="3"/>
  <c r="L51" i="3"/>
  <c r="J52" i="3"/>
  <c r="K52" i="3"/>
  <c r="L52" i="3"/>
  <c r="J53" i="3"/>
  <c r="K53" i="3"/>
  <c r="L53" i="3"/>
  <c r="J54" i="3"/>
  <c r="K54" i="3"/>
  <c r="L54" i="3"/>
  <c r="J55" i="3"/>
  <c r="K55" i="3"/>
  <c r="L55" i="3"/>
  <c r="J56" i="3"/>
  <c r="K56" i="3"/>
  <c r="L56" i="3"/>
  <c r="J57" i="3"/>
  <c r="K57" i="3"/>
  <c r="L57" i="3"/>
  <c r="J58" i="3"/>
  <c r="K58" i="3"/>
  <c r="L58" i="3"/>
  <c r="J59" i="3"/>
  <c r="K59" i="3"/>
  <c r="L59" i="3"/>
  <c r="J60" i="3"/>
  <c r="K60" i="3"/>
  <c r="L60" i="3"/>
  <c r="J61" i="3"/>
  <c r="K61" i="3"/>
  <c r="L61" i="3"/>
  <c r="J62" i="3"/>
  <c r="K62" i="3"/>
  <c r="L62" i="3"/>
  <c r="J63" i="3"/>
  <c r="K63" i="3"/>
  <c r="L63" i="3"/>
  <c r="J64" i="3"/>
  <c r="K64" i="3"/>
  <c r="L64" i="3"/>
  <c r="J65" i="3"/>
  <c r="K65" i="3"/>
  <c r="L65" i="3"/>
  <c r="J66" i="3"/>
  <c r="K66" i="3"/>
  <c r="L66" i="3"/>
  <c r="J67" i="3"/>
  <c r="K67" i="3"/>
  <c r="L67" i="3"/>
  <c r="L48" i="3"/>
  <c r="K48" i="3"/>
  <c r="J48" i="3"/>
  <c r="O48" i="3" s="1"/>
  <c r="N19" i="3"/>
  <c r="N20" i="3"/>
  <c r="N21" i="3"/>
  <c r="N22" i="3"/>
  <c r="N23" i="3"/>
  <c r="N24" i="3"/>
  <c r="N25" i="3"/>
  <c r="N26" i="3"/>
  <c r="N27" i="3"/>
  <c r="N28" i="3"/>
  <c r="N29" i="3"/>
  <c r="N30" i="3"/>
  <c r="N31" i="3"/>
  <c r="N32" i="3"/>
  <c r="N33" i="3"/>
  <c r="N34" i="3"/>
  <c r="N35" i="3"/>
  <c r="N36" i="3"/>
  <c r="N37" i="3"/>
  <c r="N38" i="3"/>
  <c r="I19" i="3"/>
  <c r="J19" i="3"/>
  <c r="K19" i="3"/>
  <c r="I20" i="3"/>
  <c r="J20" i="3"/>
  <c r="K20" i="3"/>
  <c r="I21" i="3"/>
  <c r="J21" i="3"/>
  <c r="K21" i="3"/>
  <c r="I22" i="3"/>
  <c r="J22" i="3"/>
  <c r="K22" i="3"/>
  <c r="I23" i="3"/>
  <c r="J23" i="3"/>
  <c r="K23" i="3"/>
  <c r="I24" i="3"/>
  <c r="J24" i="3"/>
  <c r="K24" i="3"/>
  <c r="I25" i="3"/>
  <c r="J25" i="3"/>
  <c r="K25" i="3"/>
  <c r="I26" i="3"/>
  <c r="J26" i="3"/>
  <c r="K26" i="3"/>
  <c r="I27" i="3"/>
  <c r="J27" i="3"/>
  <c r="K27" i="3"/>
  <c r="I28" i="3"/>
  <c r="J28" i="3"/>
  <c r="K28" i="3"/>
  <c r="I29" i="3"/>
  <c r="J29" i="3"/>
  <c r="K29" i="3"/>
  <c r="I30" i="3"/>
  <c r="J30" i="3"/>
  <c r="K30" i="3"/>
  <c r="I31" i="3"/>
  <c r="J31" i="3"/>
  <c r="K31" i="3"/>
  <c r="I32" i="3"/>
  <c r="J32" i="3"/>
  <c r="K32" i="3"/>
  <c r="I33" i="3"/>
  <c r="J33" i="3"/>
  <c r="K33" i="3"/>
  <c r="I34" i="3"/>
  <c r="J34" i="3"/>
  <c r="K34" i="3"/>
  <c r="I35" i="3"/>
  <c r="J35" i="3"/>
  <c r="K35" i="3"/>
  <c r="I36" i="3"/>
  <c r="J36" i="3"/>
  <c r="K36" i="3"/>
  <c r="I37" i="3"/>
  <c r="J37" i="3"/>
  <c r="K37" i="3"/>
  <c r="I38" i="3"/>
  <c r="J38" i="3"/>
  <c r="K38" i="3"/>
  <c r="I39" i="3"/>
  <c r="N39" i="3" s="1"/>
  <c r="J39" i="3"/>
  <c r="K39" i="3"/>
  <c r="K18" i="3"/>
  <c r="J18" i="3"/>
  <c r="I18" i="3"/>
  <c r="N18" i="3" s="1"/>
  <c r="E321" i="10" l="1"/>
  <c r="E320" i="10"/>
  <c r="E319" i="10"/>
  <c r="E318" i="10"/>
  <c r="E317" i="10"/>
  <c r="E316" i="10"/>
  <c r="E315" i="10"/>
  <c r="E314" i="10"/>
  <c r="E313" i="10"/>
  <c r="E312" i="10"/>
  <c r="E311" i="10"/>
  <c r="E310" i="10"/>
  <c r="E309" i="10"/>
  <c r="E308" i="10"/>
  <c r="E307" i="10"/>
  <c r="E306" i="10"/>
  <c r="E305" i="10"/>
  <c r="E304" i="10"/>
  <c r="E303" i="10"/>
  <c r="E302" i="10"/>
  <c r="E301" i="10"/>
  <c r="E300" i="10"/>
  <c r="E299" i="10"/>
  <c r="E298" i="10"/>
  <c r="E297" i="10"/>
  <c r="E296" i="10"/>
  <c r="E295" i="10"/>
  <c r="E294" i="10"/>
  <c r="E293" i="10"/>
  <c r="E292" i="10"/>
  <c r="E291" i="10"/>
  <c r="E290" i="10"/>
  <c r="E289" i="10"/>
  <c r="E288" i="10"/>
  <c r="E287" i="10"/>
  <c r="E286" i="10"/>
  <c r="E285" i="10"/>
  <c r="E284" i="10"/>
  <c r="E283" i="10"/>
  <c r="E282" i="10"/>
  <c r="E281" i="10"/>
  <c r="E280" i="10"/>
  <c r="E279" i="10"/>
  <c r="E278" i="10"/>
  <c r="E277" i="10"/>
  <c r="E276" i="10"/>
  <c r="E275" i="10"/>
  <c r="E274" i="10"/>
  <c r="E273" i="10"/>
  <c r="E272" i="10"/>
  <c r="E271" i="10"/>
  <c r="E270" i="10"/>
  <c r="E269" i="10"/>
  <c r="E268" i="10"/>
  <c r="E267" i="10"/>
  <c r="E266" i="10"/>
  <c r="E265" i="10"/>
  <c r="E264" i="10"/>
  <c r="E263" i="10"/>
  <c r="E262" i="10"/>
  <c r="E261" i="10"/>
  <c r="E260" i="10"/>
  <c r="E259" i="10"/>
  <c r="E258" i="10"/>
  <c r="E257" i="10"/>
  <c r="E256" i="10"/>
  <c r="E255" i="10"/>
  <c r="E254" i="10"/>
  <c r="E253" i="10"/>
  <c r="E252" i="10"/>
  <c r="E251" i="10"/>
  <c r="E250" i="10"/>
  <c r="E249" i="10"/>
  <c r="E248" i="10"/>
  <c r="E247" i="10"/>
  <c r="E246" i="10"/>
  <c r="E245" i="10"/>
  <c r="E244" i="10"/>
  <c r="E243" i="10"/>
  <c r="E242" i="10"/>
  <c r="E241" i="10"/>
  <c r="E240" i="10"/>
  <c r="E239" i="10"/>
  <c r="E238" i="10"/>
  <c r="E237" i="10"/>
  <c r="E236" i="10"/>
  <c r="E235" i="10"/>
  <c r="E234" i="10"/>
  <c r="E233" i="10"/>
  <c r="E232" i="10"/>
  <c r="E231" i="10"/>
  <c r="E230" i="10"/>
  <c r="E229" i="10"/>
  <c r="E228" i="10"/>
  <c r="E227" i="10"/>
  <c r="E226" i="10"/>
  <c r="E225" i="10"/>
  <c r="E224" i="10"/>
  <c r="E223" i="10"/>
  <c r="E222" i="10"/>
  <c r="E221" i="10"/>
  <c r="E220" i="10"/>
  <c r="E219" i="10"/>
  <c r="E218" i="10"/>
  <c r="E217" i="10"/>
  <c r="E216" i="10"/>
  <c r="E215" i="10"/>
  <c r="E214" i="10"/>
  <c r="E213" i="10"/>
  <c r="E212" i="10"/>
  <c r="E211" i="10"/>
  <c r="E210" i="10"/>
  <c r="E209" i="10"/>
  <c r="E208" i="10"/>
  <c r="E207" i="10"/>
  <c r="E206" i="10"/>
  <c r="E205" i="10"/>
  <c r="E204" i="10"/>
  <c r="E203" i="10"/>
  <c r="E202" i="10"/>
  <c r="E201" i="10"/>
  <c r="E200" i="10"/>
  <c r="E199" i="10"/>
  <c r="E198" i="10"/>
  <c r="E197" i="10"/>
  <c r="E196" i="10"/>
  <c r="E195" i="10"/>
  <c r="E194" i="10"/>
  <c r="E193" i="10"/>
  <c r="E192" i="10"/>
  <c r="E191" i="10"/>
  <c r="E190" i="10"/>
  <c r="E189" i="10"/>
  <c r="E188" i="10"/>
  <c r="E187" i="10"/>
  <c r="E186" i="10"/>
  <c r="E185" i="10"/>
  <c r="E184" i="10"/>
  <c r="E183" i="10"/>
  <c r="E182" i="10"/>
  <c r="E181" i="10"/>
  <c r="E180" i="10"/>
  <c r="E179" i="10"/>
  <c r="E178" i="10"/>
  <c r="E177" i="10"/>
  <c r="E176" i="10"/>
  <c r="E175" i="10"/>
  <c r="E174" i="10"/>
  <c r="E173" i="10"/>
  <c r="E172" i="10"/>
  <c r="E171" i="10"/>
  <c r="E170" i="10"/>
  <c r="E169" i="10"/>
  <c r="E168" i="10"/>
  <c r="E167" i="10"/>
  <c r="E166" i="10"/>
  <c r="E165" i="10"/>
  <c r="E164" i="10"/>
  <c r="E163" i="10"/>
  <c r="E162" i="10"/>
  <c r="E161" i="10"/>
  <c r="E160" i="10"/>
  <c r="E159" i="10"/>
  <c r="E158" i="10"/>
  <c r="E157" i="10"/>
  <c r="E156" i="10"/>
  <c r="E155" i="10"/>
  <c r="E154" i="10"/>
  <c r="E153" i="10"/>
  <c r="E152" i="10"/>
  <c r="E151" i="10"/>
  <c r="E150" i="10"/>
  <c r="E149" i="10"/>
  <c r="E148" i="10"/>
  <c r="E147" i="10"/>
  <c r="E146" i="10"/>
  <c r="E145" i="10"/>
  <c r="E144" i="10"/>
  <c r="E143" i="10"/>
  <c r="E142" i="10"/>
  <c r="E141" i="10"/>
  <c r="E140" i="10"/>
  <c r="E139" i="10"/>
  <c r="E138" i="10"/>
  <c r="E137" i="10"/>
  <c r="E136" i="10"/>
  <c r="E135" i="10"/>
  <c r="E134" i="10"/>
  <c r="E133" i="10"/>
  <c r="E132" i="10"/>
  <c r="E131" i="10"/>
  <c r="E130" i="10"/>
  <c r="E129" i="10"/>
  <c r="E128" i="10"/>
  <c r="E127" i="10"/>
  <c r="E126" i="10"/>
  <c r="E125" i="10"/>
  <c r="E124" i="10"/>
  <c r="E123" i="10"/>
  <c r="E122" i="10"/>
  <c r="E121" i="10"/>
  <c r="E120" i="10"/>
  <c r="E119" i="10"/>
  <c r="E118" i="10"/>
  <c r="E117" i="10"/>
  <c r="E116" i="10"/>
  <c r="E115"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E85" i="10"/>
  <c r="E84" i="10"/>
  <c r="E83" i="10"/>
  <c r="E82" i="10"/>
  <c r="E81" i="10"/>
  <c r="E80" i="10"/>
  <c r="E79" i="10"/>
  <c r="E78" i="10"/>
  <c r="E77" i="10"/>
  <c r="E76" i="10"/>
  <c r="E75" i="10"/>
  <c r="E74" i="10"/>
  <c r="G65" i="9"/>
  <c r="G63" i="9"/>
  <c r="G61" i="9"/>
  <c r="G55" i="9"/>
  <c r="G57" i="9"/>
  <c r="G53" i="9"/>
  <c r="G49" i="9"/>
  <c r="G47" i="9"/>
  <c r="G45" i="9"/>
  <c r="AM671" i="11"/>
  <c r="AO668" i="11" s="1"/>
  <c r="AO670" i="11"/>
  <c r="AM670" i="11"/>
  <c r="AQ669" i="11"/>
  <c r="AO669" i="11"/>
  <c r="AO664" i="11"/>
  <c r="AO662" i="11"/>
  <c r="AO665" i="11" s="1"/>
  <c r="AN662" i="11"/>
  <c r="AN665" i="11" s="1"/>
  <c r="AM662" i="11"/>
  <c r="AM665" i="11" s="1"/>
  <c r="AP661" i="11"/>
  <c r="AO661" i="11"/>
  <c r="AN661" i="11"/>
  <c r="AM661" i="11"/>
  <c r="AE664" i="11"/>
  <c r="AD664" i="11"/>
  <c r="AF664" i="11" s="1"/>
  <c r="AD661" i="11"/>
  <c r="AF661" i="11" s="1"/>
  <c r="AG661" i="11" s="1"/>
  <c r="AE661" i="11"/>
  <c r="AD662" i="11"/>
  <c r="AF662" i="11" s="1"/>
  <c r="AG662" i="11" s="1"/>
  <c r="AE662" i="11"/>
  <c r="F14" i="5"/>
  <c r="F12" i="5"/>
  <c r="F22" i="8"/>
  <c r="F23" i="8"/>
  <c r="F24" i="8"/>
  <c r="F25" i="8"/>
  <c r="F26" i="8"/>
  <c r="F21" i="8"/>
  <c r="F11" i="8"/>
  <c r="F12" i="8"/>
  <c r="F13" i="8"/>
  <c r="F14" i="8"/>
  <c r="F10" i="8"/>
  <c r="F13" i="4"/>
  <c r="F14" i="4"/>
  <c r="F15" i="4"/>
  <c r="F16" i="4"/>
  <c r="F17" i="4"/>
  <c r="F18" i="4"/>
  <c r="F19" i="4"/>
  <c r="F20" i="4"/>
  <c r="F21" i="4"/>
  <c r="F22" i="4"/>
  <c r="F23" i="4"/>
  <c r="F24" i="4"/>
  <c r="F25" i="4"/>
  <c r="F26" i="4"/>
  <c r="F27" i="4"/>
  <c r="F28" i="4"/>
  <c r="F29" i="4"/>
  <c r="F30" i="4"/>
  <c r="F31" i="4"/>
  <c r="F32" i="4"/>
  <c r="F33" i="4"/>
  <c r="F12" i="4"/>
  <c r="F49" i="3"/>
  <c r="F50" i="3"/>
  <c r="F51" i="3"/>
  <c r="F52" i="3"/>
  <c r="F53" i="3"/>
  <c r="F54" i="3"/>
  <c r="F55" i="3"/>
  <c r="F56" i="3"/>
  <c r="F57" i="3"/>
  <c r="F58" i="3"/>
  <c r="F59" i="3"/>
  <c r="F60" i="3"/>
  <c r="F61" i="3"/>
  <c r="F62" i="3"/>
  <c r="F63" i="3"/>
  <c r="F64" i="3"/>
  <c r="F65" i="3"/>
  <c r="F66" i="3"/>
  <c r="F67" i="3"/>
  <c r="F48" i="3"/>
  <c r="F19" i="3"/>
  <c r="F20" i="3"/>
  <c r="F21" i="3"/>
  <c r="F22" i="3"/>
  <c r="F23" i="3"/>
  <c r="F24" i="3"/>
  <c r="F25" i="3"/>
  <c r="F26" i="3"/>
  <c r="F27" i="3"/>
  <c r="F28" i="3"/>
  <c r="F29" i="3"/>
  <c r="F30" i="3"/>
  <c r="F31" i="3"/>
  <c r="F32" i="3"/>
  <c r="F33" i="3"/>
  <c r="F34" i="3"/>
  <c r="F35" i="3"/>
  <c r="F36" i="3"/>
  <c r="F37" i="3"/>
  <c r="F38" i="3"/>
  <c r="F39" i="3"/>
  <c r="F18" i="3"/>
  <c r="C663" i="11"/>
  <c r="D663" i="11" s="1"/>
  <c r="C664" i="11"/>
  <c r="D664" i="11" s="1"/>
  <c r="C665" i="11"/>
  <c r="D665" i="11" s="1"/>
  <c r="C666" i="11"/>
  <c r="D666" i="11"/>
  <c r="C667" i="11"/>
  <c r="D667" i="11" s="1"/>
  <c r="C668" i="11"/>
  <c r="D668" i="11" s="1"/>
  <c r="C669" i="11"/>
  <c r="D669" i="11" s="1"/>
  <c r="C670" i="11"/>
  <c r="D670" i="11"/>
  <c r="C671" i="11"/>
  <c r="D671" i="11" s="1"/>
  <c r="C672" i="11"/>
  <c r="D672" i="11"/>
  <c r="C673" i="11"/>
  <c r="D673" i="11" s="1"/>
  <c r="C674" i="11"/>
  <c r="D674" i="11"/>
  <c r="C675" i="11"/>
  <c r="D675" i="11" s="1"/>
  <c r="C676" i="11"/>
  <c r="D676" i="11"/>
  <c r="C677" i="11"/>
  <c r="D677" i="11" s="1"/>
  <c r="C678" i="11"/>
  <c r="D678" i="11"/>
  <c r="C679" i="11"/>
  <c r="D679" i="11" s="1"/>
  <c r="C680" i="11"/>
  <c r="D680" i="11"/>
  <c r="C681" i="11"/>
  <c r="D681" i="11" s="1"/>
  <c r="C682" i="11"/>
  <c r="D682" i="11"/>
  <c r="C683" i="11"/>
  <c r="D683" i="11" s="1"/>
  <c r="C684" i="11"/>
  <c r="D684" i="11"/>
  <c r="C685" i="11"/>
  <c r="D685" i="11" s="1"/>
  <c r="C686" i="11"/>
  <c r="D686" i="11"/>
  <c r="C687" i="11"/>
  <c r="D687" i="11" s="1"/>
  <c r="C688" i="11"/>
  <c r="D688" i="11"/>
  <c r="C689" i="11"/>
  <c r="D689" i="11" s="1"/>
  <c r="C690" i="11"/>
  <c r="D690" i="11"/>
  <c r="C691" i="11"/>
  <c r="D691" i="11" s="1"/>
  <c r="C692" i="11"/>
  <c r="D692" i="11"/>
  <c r="C693" i="11"/>
  <c r="D693" i="11" s="1"/>
  <c r="C694" i="11"/>
  <c r="D694" i="11"/>
  <c r="C695" i="11"/>
  <c r="D695" i="11" s="1"/>
  <c r="C696" i="11"/>
  <c r="D696" i="11"/>
  <c r="C697" i="11"/>
  <c r="D697" i="11" s="1"/>
  <c r="C698" i="11"/>
  <c r="D698" i="11"/>
  <c r="C699" i="11"/>
  <c r="D699" i="11" s="1"/>
  <c r="C700" i="11"/>
  <c r="D700" i="11"/>
  <c r="C701" i="11"/>
  <c r="D701" i="11" s="1"/>
  <c r="C702" i="11"/>
  <c r="D702" i="11"/>
  <c r="C703" i="11"/>
  <c r="D703" i="11" s="1"/>
  <c r="C704" i="11"/>
  <c r="D704" i="11"/>
  <c r="C705" i="11"/>
  <c r="D705" i="11" s="1"/>
  <c r="C706" i="11"/>
  <c r="D706" i="11"/>
  <c r="C707" i="11"/>
  <c r="D707" i="11" s="1"/>
  <c r="C708" i="11"/>
  <c r="D708" i="11"/>
  <c r="C709" i="11"/>
  <c r="D709" i="11" s="1"/>
  <c r="C710" i="11"/>
  <c r="D710" i="11"/>
  <c r="C711" i="11"/>
  <c r="D711" i="11" s="1"/>
  <c r="C712" i="11"/>
  <c r="D712" i="11"/>
  <c r="C713" i="11"/>
  <c r="D713" i="11" s="1"/>
  <c r="C714" i="11"/>
  <c r="D714" i="11"/>
  <c r="C715" i="11"/>
  <c r="D715" i="11" s="1"/>
  <c r="C716" i="11"/>
  <c r="D716" i="11"/>
  <c r="C717" i="11"/>
  <c r="D717" i="11" s="1"/>
  <c r="C718" i="11"/>
  <c r="D718" i="11"/>
  <c r="C719" i="11"/>
  <c r="D719" i="11" s="1"/>
  <c r="C720" i="11"/>
  <c r="D720" i="11"/>
  <c r="C721" i="11"/>
  <c r="D721" i="11" s="1"/>
  <c r="C722" i="11"/>
  <c r="D722" i="11"/>
  <c r="C723" i="11"/>
  <c r="D723" i="11" s="1"/>
  <c r="C724" i="11"/>
  <c r="D724" i="11" s="1"/>
  <c r="C725" i="11"/>
  <c r="D725" i="11" s="1"/>
  <c r="C726" i="11"/>
  <c r="D726" i="11"/>
  <c r="C727" i="11"/>
  <c r="D727" i="11" s="1"/>
  <c r="C728" i="11"/>
  <c r="D728" i="11" s="1"/>
  <c r="C729" i="11"/>
  <c r="D729" i="11" s="1"/>
  <c r="C730" i="11"/>
  <c r="D730" i="11"/>
  <c r="C731" i="11"/>
  <c r="D731" i="11" s="1"/>
  <c r="C732" i="11"/>
  <c r="D732" i="11" s="1"/>
  <c r="C733" i="11"/>
  <c r="D733" i="11" s="1"/>
  <c r="C734" i="11"/>
  <c r="D734" i="11"/>
  <c r="C735" i="11"/>
  <c r="D735" i="11" s="1"/>
  <c r="C736" i="11"/>
  <c r="D736" i="11" s="1"/>
  <c r="C737" i="11"/>
  <c r="D737" i="11" s="1"/>
  <c r="C738" i="11"/>
  <c r="D738" i="11"/>
  <c r="C739" i="11"/>
  <c r="D739" i="11" s="1"/>
  <c r="C740" i="11"/>
  <c r="D740" i="11" s="1"/>
  <c r="C741" i="11"/>
  <c r="D741" i="11" s="1"/>
  <c r="C742" i="11"/>
  <c r="D742" i="11"/>
  <c r="C743" i="11"/>
  <c r="D743" i="11" s="1"/>
  <c r="C744" i="11"/>
  <c r="D744" i="11" s="1"/>
  <c r="C745" i="11"/>
  <c r="D745" i="11" s="1"/>
  <c r="C746" i="11"/>
  <c r="D746" i="11"/>
  <c r="C747" i="11"/>
  <c r="D747" i="11" s="1"/>
  <c r="C748" i="11"/>
  <c r="D748" i="11" s="1"/>
  <c r="C749" i="11"/>
  <c r="D749" i="11" s="1"/>
  <c r="C750" i="11"/>
  <c r="D750" i="11"/>
  <c r="C751" i="11"/>
  <c r="D751" i="11" s="1"/>
  <c r="C752" i="11"/>
  <c r="D752" i="11" s="1"/>
  <c r="C753" i="11"/>
  <c r="D753" i="11" s="1"/>
  <c r="C754" i="11"/>
  <c r="D754" i="11"/>
  <c r="C755" i="11"/>
  <c r="D755" i="11" s="1"/>
  <c r="C756" i="11"/>
  <c r="D756" i="11" s="1"/>
  <c r="C757" i="11"/>
  <c r="D757" i="11" s="1"/>
  <c r="C758" i="11"/>
  <c r="D758" i="11"/>
  <c r="C759" i="11"/>
  <c r="D759" i="11" s="1"/>
  <c r="C760" i="11"/>
  <c r="D760" i="11" s="1"/>
  <c r="C761" i="11"/>
  <c r="D761" i="11" s="1"/>
  <c r="C762" i="11"/>
  <c r="D762" i="11"/>
  <c r="C763" i="11"/>
  <c r="D763" i="11" s="1"/>
  <c r="C764" i="11"/>
  <c r="D764" i="11" s="1"/>
  <c r="C765" i="11"/>
  <c r="D765" i="11" s="1"/>
  <c r="C766" i="11"/>
  <c r="D766" i="11"/>
  <c r="C767" i="11"/>
  <c r="D767" i="11" s="1"/>
  <c r="C768" i="11"/>
  <c r="D768" i="11" s="1"/>
  <c r="C769" i="11"/>
  <c r="D769" i="11" s="1"/>
  <c r="C770" i="11"/>
  <c r="D770" i="11"/>
  <c r="C771" i="11"/>
  <c r="D771" i="11" s="1"/>
  <c r="C772" i="11"/>
  <c r="D772" i="11" s="1"/>
  <c r="C773" i="11"/>
  <c r="D773" i="11" s="1"/>
  <c r="C774" i="11"/>
  <c r="D774" i="11"/>
  <c r="C775" i="11"/>
  <c r="D775" i="11" s="1"/>
  <c r="C776" i="11"/>
  <c r="D776" i="11" s="1"/>
  <c r="C777" i="11"/>
  <c r="D777" i="11" s="1"/>
  <c r="C778" i="11"/>
  <c r="D778" i="11"/>
  <c r="C779" i="11"/>
  <c r="D779" i="11" s="1"/>
  <c r="C780" i="11"/>
  <c r="D780" i="11" s="1"/>
  <c r="C781" i="11"/>
  <c r="D781" i="11" s="1"/>
  <c r="C782" i="11"/>
  <c r="D782" i="11"/>
  <c r="C783" i="11"/>
  <c r="D783" i="11" s="1"/>
  <c r="C784" i="11"/>
  <c r="D784" i="11" s="1"/>
  <c r="C785" i="11"/>
  <c r="D785" i="11" s="1"/>
  <c r="C786" i="11"/>
  <c r="D786" i="11"/>
  <c r="C787" i="11"/>
  <c r="D787" i="11" s="1"/>
  <c r="C788" i="11"/>
  <c r="D788" i="11" s="1"/>
  <c r="C789" i="11"/>
  <c r="D789" i="11" s="1"/>
  <c r="C790" i="11"/>
  <c r="D790" i="11"/>
  <c r="C791" i="11"/>
  <c r="D791" i="11" s="1"/>
  <c r="C792" i="11"/>
  <c r="D792" i="11" s="1"/>
  <c r="C793" i="11"/>
  <c r="D793" i="11" s="1"/>
  <c r="C794" i="11"/>
  <c r="D794" i="11"/>
  <c r="C795" i="11"/>
  <c r="D795" i="11" s="1"/>
  <c r="C796" i="11"/>
  <c r="D796" i="11" s="1"/>
  <c r="C797" i="11"/>
  <c r="D797" i="11" s="1"/>
  <c r="C798" i="11"/>
  <c r="D798" i="11"/>
  <c r="C799" i="11"/>
  <c r="D799" i="11" s="1"/>
  <c r="C800" i="11"/>
  <c r="D800" i="11" s="1"/>
  <c r="C801" i="11"/>
  <c r="D801" i="11" s="1"/>
  <c r="C802" i="11"/>
  <c r="D802" i="11"/>
  <c r="C803" i="11"/>
  <c r="D803" i="11" s="1"/>
  <c r="C804" i="11"/>
  <c r="D804" i="11" s="1"/>
  <c r="C805" i="11"/>
  <c r="D805" i="11" s="1"/>
  <c r="C806" i="11"/>
  <c r="D806" i="11"/>
  <c r="C807" i="11"/>
  <c r="D807" i="11" s="1"/>
  <c r="C808" i="11"/>
  <c r="D808" i="11" s="1"/>
  <c r="C809" i="11"/>
  <c r="D809" i="11" s="1"/>
  <c r="C810" i="11"/>
  <c r="D810" i="11"/>
  <c r="C811" i="11"/>
  <c r="D811" i="11" s="1"/>
  <c r="C812" i="11"/>
  <c r="D812" i="11" s="1"/>
  <c r="C813" i="11"/>
  <c r="D813" i="11" s="1"/>
  <c r="C814" i="11"/>
  <c r="D814" i="11"/>
  <c r="C815" i="11"/>
  <c r="D815" i="11" s="1"/>
  <c r="C816" i="11"/>
  <c r="D816" i="11" s="1"/>
  <c r="C817" i="11"/>
  <c r="D817" i="11" s="1"/>
  <c r="C818" i="11"/>
  <c r="D818" i="11"/>
  <c r="C819" i="11"/>
  <c r="D819" i="11" s="1"/>
  <c r="C820" i="11"/>
  <c r="D820" i="11" s="1"/>
  <c r="C821" i="11"/>
  <c r="D821" i="11" s="1"/>
  <c r="C822" i="11"/>
  <c r="D822" i="11"/>
  <c r="C823" i="11"/>
  <c r="D823" i="11" s="1"/>
  <c r="C824" i="11"/>
  <c r="D824" i="11" s="1"/>
  <c r="C825" i="11"/>
  <c r="D825" i="11" s="1"/>
  <c r="C826" i="11"/>
  <c r="D826" i="11"/>
  <c r="C827" i="11"/>
  <c r="D827" i="11" s="1"/>
  <c r="C828" i="11"/>
  <c r="D828" i="11" s="1"/>
  <c r="C829" i="11"/>
  <c r="D829" i="11" s="1"/>
  <c r="C830" i="11"/>
  <c r="D830" i="11"/>
  <c r="C831" i="11"/>
  <c r="D831" i="11" s="1"/>
  <c r="C832" i="11"/>
  <c r="D832" i="11" s="1"/>
  <c r="C833" i="11"/>
  <c r="D833" i="11" s="1"/>
  <c r="C834" i="11"/>
  <c r="D834" i="11" s="1"/>
  <c r="C835" i="11"/>
  <c r="D835" i="11" s="1"/>
  <c r="C836" i="11"/>
  <c r="D836" i="11" s="1"/>
  <c r="C837" i="11"/>
  <c r="D837" i="11" s="1"/>
  <c r="C838" i="11"/>
  <c r="D838" i="11" s="1"/>
  <c r="C839" i="11"/>
  <c r="D839" i="11" s="1"/>
  <c r="C840" i="11"/>
  <c r="D840" i="11" s="1"/>
  <c r="C841" i="11"/>
  <c r="D841" i="11" s="1"/>
  <c r="C842" i="11"/>
  <c r="D842" i="11" s="1"/>
  <c r="C843" i="11"/>
  <c r="D843" i="11" s="1"/>
  <c r="C844" i="11"/>
  <c r="D844" i="11" s="1"/>
  <c r="C845" i="11"/>
  <c r="D845" i="11" s="1"/>
  <c r="C846" i="11"/>
  <c r="D846" i="11" s="1"/>
  <c r="C847" i="11"/>
  <c r="D847" i="11" s="1"/>
  <c r="C848" i="11"/>
  <c r="D848" i="11" s="1"/>
  <c r="C849" i="11"/>
  <c r="D849" i="11" s="1"/>
  <c r="C850" i="11"/>
  <c r="D850" i="11" s="1"/>
  <c r="C851" i="11"/>
  <c r="D851" i="11" s="1"/>
  <c r="C852" i="11"/>
  <c r="D852" i="11" s="1"/>
  <c r="C853" i="11"/>
  <c r="D853" i="11" s="1"/>
  <c r="C854" i="11"/>
  <c r="D854" i="11" s="1"/>
  <c r="C855" i="11"/>
  <c r="D855" i="11" s="1"/>
  <c r="C856" i="11"/>
  <c r="D856" i="11" s="1"/>
  <c r="C857" i="11"/>
  <c r="D857" i="11" s="1"/>
  <c r="C858" i="11"/>
  <c r="D858" i="11" s="1"/>
  <c r="C859" i="11"/>
  <c r="D859" i="11" s="1"/>
  <c r="C860" i="11"/>
  <c r="D860" i="11" s="1"/>
  <c r="C861" i="11"/>
  <c r="D861" i="11" s="1"/>
  <c r="C862" i="11"/>
  <c r="D862" i="11" s="1"/>
  <c r="C863" i="11"/>
  <c r="D863" i="11" s="1"/>
  <c r="C864" i="11"/>
  <c r="D864" i="11" s="1"/>
  <c r="C865" i="11"/>
  <c r="D865" i="11" s="1"/>
  <c r="C866" i="11"/>
  <c r="D866" i="11" s="1"/>
  <c r="C867" i="11"/>
  <c r="D867" i="11" s="1"/>
  <c r="C868" i="11"/>
  <c r="D868" i="11" s="1"/>
  <c r="C869" i="11"/>
  <c r="D869" i="11" s="1"/>
  <c r="C870" i="11"/>
  <c r="D870" i="11" s="1"/>
  <c r="C871" i="11"/>
  <c r="D871" i="11" s="1"/>
  <c r="C872" i="11"/>
  <c r="D872" i="11" s="1"/>
  <c r="C873" i="11"/>
  <c r="D873" i="11" s="1"/>
  <c r="C874" i="11"/>
  <c r="D874" i="11" s="1"/>
  <c r="C875" i="11"/>
  <c r="D875" i="11" s="1"/>
  <c r="C876" i="11"/>
  <c r="D876" i="11" s="1"/>
  <c r="C877" i="11"/>
  <c r="D877" i="11" s="1"/>
  <c r="C878" i="11"/>
  <c r="D878" i="11" s="1"/>
  <c r="C879" i="11"/>
  <c r="D879" i="11" s="1"/>
  <c r="C880" i="11"/>
  <c r="D880" i="11" s="1"/>
  <c r="C881" i="11"/>
  <c r="D881" i="11" s="1"/>
  <c r="C882" i="11"/>
  <c r="D882" i="11" s="1"/>
  <c r="C883" i="11"/>
  <c r="D883" i="11" s="1"/>
  <c r="C884" i="11"/>
  <c r="D884" i="11" s="1"/>
  <c r="C885" i="11"/>
  <c r="D885" i="11" s="1"/>
  <c r="C886" i="11"/>
  <c r="D886" i="11" s="1"/>
  <c r="C887" i="11"/>
  <c r="D887" i="11" s="1"/>
  <c r="C888" i="11"/>
  <c r="D888" i="11" s="1"/>
  <c r="C889" i="11"/>
  <c r="D889" i="11" s="1"/>
  <c r="C890" i="11"/>
  <c r="D890" i="11" s="1"/>
  <c r="C891" i="11"/>
  <c r="D891" i="11" s="1"/>
  <c r="C892" i="11"/>
  <c r="D892" i="11" s="1"/>
  <c r="C893" i="11"/>
  <c r="D893" i="11" s="1"/>
  <c r="C894" i="11"/>
  <c r="D894" i="11" s="1"/>
  <c r="C895" i="11"/>
  <c r="D895" i="11" s="1"/>
  <c r="C896" i="11"/>
  <c r="D896" i="11" s="1"/>
  <c r="C897" i="11"/>
  <c r="D897" i="11" s="1"/>
  <c r="C898" i="11"/>
  <c r="D898" i="11" s="1"/>
  <c r="C899" i="11"/>
  <c r="D899" i="11" s="1"/>
  <c r="C900" i="11"/>
  <c r="D900" i="11" s="1"/>
  <c r="C901" i="11"/>
  <c r="D901" i="11" s="1"/>
  <c r="C902" i="11"/>
  <c r="D902" i="11" s="1"/>
  <c r="C903" i="11"/>
  <c r="D903" i="11" s="1"/>
  <c r="C904" i="11"/>
  <c r="D904" i="11" s="1"/>
  <c r="C905" i="11"/>
  <c r="D905" i="11" s="1"/>
  <c r="C906" i="11"/>
  <c r="D906" i="11" s="1"/>
  <c r="C907" i="11"/>
  <c r="D907" i="11" s="1"/>
  <c r="C908" i="11"/>
  <c r="D908" i="11" s="1"/>
  <c r="C909" i="11"/>
  <c r="D909" i="11" s="1"/>
  <c r="C910" i="11"/>
  <c r="D910" i="11" s="1"/>
  <c r="C911" i="11"/>
  <c r="D911" i="11" s="1"/>
  <c r="C662" i="11"/>
  <c r="D662" i="11" s="1"/>
  <c r="E72" i="10" l="1"/>
  <c r="F72" i="10"/>
  <c r="F73" i="10" s="1"/>
  <c r="H72" i="10"/>
  <c r="H73" i="10" s="1"/>
  <c r="E73" i="10"/>
  <c r="G72" i="10"/>
  <c r="AM663" i="11"/>
  <c r="AM664" i="11"/>
  <c r="AO663" i="11"/>
  <c r="AN663" i="11"/>
  <c r="AN664" i="11"/>
  <c r="AG664" i="11"/>
  <c r="AH664" i="11" s="1"/>
  <c r="AH685" i="11" s="1"/>
  <c r="E662" i="11"/>
  <c r="E72" i="9" s="1"/>
  <c r="D15" i="7"/>
  <c r="D16" i="6"/>
  <c r="N72" i="10" l="1"/>
  <c r="N73" i="10" s="1"/>
  <c r="H74" i="10"/>
  <c r="F74" i="10"/>
  <c r="F75" i="10" s="1"/>
  <c r="J72" i="10"/>
  <c r="G73" i="10"/>
  <c r="H72" i="9"/>
  <c r="N72" i="9"/>
  <c r="F72" i="9"/>
  <c r="I72" i="9"/>
  <c r="G72" i="9"/>
  <c r="E663" i="11"/>
  <c r="AP149" i="11"/>
  <c r="AP150" i="11"/>
  <c r="AP151" i="11"/>
  <c r="AP152" i="11"/>
  <c r="AP153" i="11"/>
  <c r="AP154" i="11"/>
  <c r="AP155" i="11"/>
  <c r="AP156" i="11"/>
  <c r="AP157" i="11"/>
  <c r="AP158" i="11"/>
  <c r="AP159" i="11"/>
  <c r="AP160" i="11"/>
  <c r="AP161" i="11"/>
  <c r="AP162" i="11"/>
  <c r="AP163" i="11"/>
  <c r="AP164" i="11"/>
  <c r="AP165" i="11"/>
  <c r="AP166" i="11"/>
  <c r="AP167" i="11"/>
  <c r="AP148" i="11"/>
  <c r="S149" i="11"/>
  <c r="S150" i="11"/>
  <c r="S151" i="11"/>
  <c r="S152" i="11"/>
  <c r="S153" i="11"/>
  <c r="S154" i="11"/>
  <c r="S155" i="11"/>
  <c r="S156" i="11"/>
  <c r="S157" i="11"/>
  <c r="S158" i="11"/>
  <c r="S159" i="11"/>
  <c r="S160" i="11"/>
  <c r="S161" i="11"/>
  <c r="S162" i="11"/>
  <c r="S163" i="11"/>
  <c r="S164" i="11"/>
  <c r="S165" i="11"/>
  <c r="S166" i="11"/>
  <c r="S167" i="11"/>
  <c r="S148" i="11"/>
  <c r="AA162" i="11"/>
  <c r="AA161" i="11"/>
  <c r="AA163" i="11"/>
  <c r="AA165" i="11"/>
  <c r="AE165" i="11" s="1"/>
  <c r="AC132" i="11"/>
  <c r="AC137" i="11" s="1"/>
  <c r="AB132" i="11"/>
  <c r="AB137" i="11" s="1"/>
  <c r="AC131" i="11"/>
  <c r="AC133" i="11" s="1"/>
  <c r="AB131" i="11"/>
  <c r="AB133" i="11" s="1"/>
  <c r="AC126" i="11"/>
  <c r="AB126" i="11"/>
  <c r="AC125" i="11"/>
  <c r="AB125" i="11"/>
  <c r="AC129" i="11"/>
  <c r="AC130" i="11"/>
  <c r="AC128" i="11"/>
  <c r="AB130" i="11"/>
  <c r="AB129" i="11"/>
  <c r="AB128" i="11"/>
  <c r="AB127" i="11"/>
  <c r="AA138" i="11"/>
  <c r="AA139" i="11"/>
  <c r="AA140" i="11"/>
  <c r="AA141" i="11"/>
  <c r="AA137" i="11"/>
  <c r="AD137" i="11" s="1"/>
  <c r="AA134" i="11"/>
  <c r="AA135" i="11"/>
  <c r="AA136" i="11"/>
  <c r="AA133" i="11"/>
  <c r="AD133" i="11" s="1"/>
  <c r="AA132" i="11"/>
  <c r="AD132" i="11" s="1"/>
  <c r="AA131" i="11"/>
  <c r="AE131" i="11" s="1"/>
  <c r="AA130" i="11"/>
  <c r="AD130" i="11" s="1"/>
  <c r="AA129" i="11"/>
  <c r="AD129" i="11" s="1"/>
  <c r="AA128" i="11"/>
  <c r="AD128" i="11" s="1"/>
  <c r="AA127" i="11"/>
  <c r="AD127" i="11" s="1"/>
  <c r="AA126" i="11"/>
  <c r="AD126" i="11" s="1"/>
  <c r="AA125" i="11"/>
  <c r="AE125" i="11" s="1"/>
  <c r="AA124" i="11"/>
  <c r="AE124" i="11" s="1"/>
  <c r="AA120" i="11"/>
  <c r="AE120" i="11" s="1"/>
  <c r="AC124" i="11"/>
  <c r="AB124" i="11"/>
  <c r="AC123" i="11"/>
  <c r="AE123" i="11" s="1"/>
  <c r="AB123" i="11"/>
  <c r="AD123" i="11" s="1"/>
  <c r="AC122" i="11"/>
  <c r="AE122" i="11" s="1"/>
  <c r="AB122" i="11"/>
  <c r="AD122" i="11" s="1"/>
  <c r="AC120" i="11"/>
  <c r="AB120" i="11"/>
  <c r="AC165" i="11"/>
  <c r="AB165" i="11"/>
  <c r="AC127" i="11"/>
  <c r="AC121" i="11"/>
  <c r="AE121" i="11" s="1"/>
  <c r="AB121" i="11"/>
  <c r="AD121" i="11" s="1"/>
  <c r="AB119" i="11"/>
  <c r="AC150" i="11"/>
  <c r="AB150" i="11"/>
  <c r="AA150" i="11"/>
  <c r="AD150" i="11" s="1"/>
  <c r="AC119" i="11"/>
  <c r="AA119" i="11"/>
  <c r="AE119" i="11" s="1"/>
  <c r="AC163" i="11"/>
  <c r="AB163" i="11"/>
  <c r="AD163" i="11" s="1"/>
  <c r="AC162" i="11"/>
  <c r="AB162" i="11"/>
  <c r="AC161" i="11"/>
  <c r="AB161" i="11"/>
  <c r="AD161" i="11" s="1"/>
  <c r="Z152" i="11"/>
  <c r="Z153" i="11"/>
  <c r="Z154" i="11"/>
  <c r="Z151" i="11"/>
  <c r="AC148" i="11"/>
  <c r="AC151" i="11" s="1"/>
  <c r="AC154" i="11" s="1"/>
  <c r="AB148" i="11"/>
  <c r="AB151" i="11" s="1"/>
  <c r="AB153" i="11" s="1"/>
  <c r="AA148" i="11"/>
  <c r="AA152" i="11" s="1"/>
  <c r="Z156" i="11"/>
  <c r="Z157" i="11"/>
  <c r="Z158" i="11"/>
  <c r="Z159" i="11"/>
  <c r="Z155" i="11"/>
  <c r="AC149" i="11"/>
  <c r="AC155" i="11" s="1"/>
  <c r="AC157" i="11" s="1"/>
  <c r="AB149" i="11"/>
  <c r="AB155" i="11" s="1"/>
  <c r="AB159" i="11" s="1"/>
  <c r="AA149" i="11"/>
  <c r="AA157" i="11" s="1"/>
  <c r="P72" i="10" l="1"/>
  <c r="H75" i="10"/>
  <c r="H76" i="10" s="1"/>
  <c r="N74" i="10"/>
  <c r="N75" i="10" s="1"/>
  <c r="J73" i="10"/>
  <c r="P73" i="10" s="1"/>
  <c r="G74" i="10"/>
  <c r="J74" i="10" s="1"/>
  <c r="F76" i="10"/>
  <c r="F77" i="10" s="1"/>
  <c r="K72" i="9"/>
  <c r="P72" i="9" s="1"/>
  <c r="E664" i="11"/>
  <c r="E74" i="9" s="1"/>
  <c r="E73" i="9"/>
  <c r="AC136" i="11"/>
  <c r="AC135" i="11"/>
  <c r="AC134" i="11"/>
  <c r="AD157" i="11"/>
  <c r="AB135" i="11"/>
  <c r="AB134" i="11"/>
  <c r="AD134" i="11" s="1"/>
  <c r="AB136" i="11"/>
  <c r="AD136" i="11" s="1"/>
  <c r="AD135" i="11"/>
  <c r="AB139" i="11"/>
  <c r="AD139" i="11" s="1"/>
  <c r="AB141" i="11"/>
  <c r="AD141" i="11" s="1"/>
  <c r="AB140" i="11"/>
  <c r="AD140" i="11" s="1"/>
  <c r="AB138" i="11"/>
  <c r="AD138" i="11" s="1"/>
  <c r="AD153" i="11"/>
  <c r="AC139" i="11"/>
  <c r="AE139" i="11" s="1"/>
  <c r="AC141" i="11"/>
  <c r="AC138" i="11"/>
  <c r="AC140" i="11"/>
  <c r="AD119" i="11"/>
  <c r="AD124" i="11"/>
  <c r="AE130" i="11"/>
  <c r="AE128" i="11"/>
  <c r="AE126" i="11"/>
  <c r="AE141" i="11"/>
  <c r="AE137" i="11"/>
  <c r="AE135" i="11"/>
  <c r="AE133" i="11"/>
  <c r="AD148" i="11"/>
  <c r="AE150" i="11"/>
  <c r="AA153" i="11"/>
  <c r="AE148" i="11"/>
  <c r="AD165" i="11"/>
  <c r="AE163" i="11"/>
  <c r="AD120" i="11"/>
  <c r="AD125" i="11"/>
  <c r="AE129" i="11"/>
  <c r="AE127" i="11"/>
  <c r="AD131" i="11"/>
  <c r="AE140" i="11"/>
  <c r="AE138" i="11"/>
  <c r="AE136" i="11"/>
  <c r="AE134" i="11"/>
  <c r="AE132" i="11"/>
  <c r="AE157" i="11"/>
  <c r="AE153" i="11"/>
  <c r="AE149" i="11"/>
  <c r="AE161" i="11"/>
  <c r="AA154" i="11"/>
  <c r="AD154" i="11" s="1"/>
  <c r="AD149" i="11"/>
  <c r="AD162" i="11"/>
  <c r="AE162" i="11"/>
  <c r="AA158" i="11"/>
  <c r="AD158" i="11" s="1"/>
  <c r="AA156" i="11"/>
  <c r="AD156" i="11" s="1"/>
  <c r="AA151" i="11"/>
  <c r="AE151" i="11" s="1"/>
  <c r="AA155" i="11"/>
  <c r="AD155" i="11" s="1"/>
  <c r="AA159" i="11"/>
  <c r="AE159" i="11" s="1"/>
  <c r="AC152" i="11"/>
  <c r="AE152" i="11" s="1"/>
  <c r="AC153" i="11"/>
  <c r="AB152" i="11"/>
  <c r="AD152" i="11" s="1"/>
  <c r="AC156" i="11"/>
  <c r="AE156" i="11" s="1"/>
  <c r="AB154" i="11"/>
  <c r="AB156" i="11"/>
  <c r="AC159" i="11"/>
  <c r="AB158" i="11"/>
  <c r="AB157" i="11"/>
  <c r="AC158" i="11"/>
  <c r="H77" i="10" l="1"/>
  <c r="P74" i="10"/>
  <c r="N76" i="10"/>
  <c r="G75" i="10"/>
  <c r="F78" i="10"/>
  <c r="E665" i="11"/>
  <c r="N73" i="9"/>
  <c r="N74" i="9" s="1"/>
  <c r="I73" i="9"/>
  <c r="H73" i="9"/>
  <c r="H74" i="9" s="1"/>
  <c r="G73" i="9"/>
  <c r="G74" i="9" s="1"/>
  <c r="F73" i="9"/>
  <c r="F74" i="9" s="1"/>
  <c r="AE154" i="11"/>
  <c r="AE155" i="11"/>
  <c r="AE158" i="11"/>
  <c r="AD151" i="11"/>
  <c r="AD159" i="11"/>
  <c r="H22" i="8"/>
  <c r="H23" i="8"/>
  <c r="H24" i="8"/>
  <c r="H25" i="8"/>
  <c r="H26" i="8"/>
  <c r="H21" i="8"/>
  <c r="J24" i="8"/>
  <c r="H11" i="8"/>
  <c r="H12" i="8"/>
  <c r="H13" i="8"/>
  <c r="H14" i="8"/>
  <c r="H10" i="8"/>
  <c r="J14" i="8"/>
  <c r="G529" i="11"/>
  <c r="F529" i="11"/>
  <c r="E529" i="11"/>
  <c r="D529" i="11"/>
  <c r="G528" i="11"/>
  <c r="F528" i="11"/>
  <c r="E528" i="11"/>
  <c r="D528" i="11"/>
  <c r="G527" i="11"/>
  <c r="F527" i="11"/>
  <c r="E527" i="11"/>
  <c r="D527" i="11"/>
  <c r="H78" i="10" l="1"/>
  <c r="N77" i="10"/>
  <c r="J75" i="10"/>
  <c r="P75" i="10" s="1"/>
  <c r="G76" i="10"/>
  <c r="F79" i="10"/>
  <c r="K73" i="9"/>
  <c r="P73" i="9" s="1"/>
  <c r="I74" i="9"/>
  <c r="K74" i="9" s="1"/>
  <c r="P74" i="9" s="1"/>
  <c r="E666" i="11"/>
  <c r="E75" i="9"/>
  <c r="J21" i="8"/>
  <c r="AE660" i="11"/>
  <c r="AD660" i="11"/>
  <c r="AF660" i="11" s="1"/>
  <c r="AE659" i="11"/>
  <c r="AD659" i="11"/>
  <c r="AF659" i="11" s="1"/>
  <c r="AE658" i="11"/>
  <c r="AD658" i="11"/>
  <c r="AF658" i="11" s="1"/>
  <c r="AE657" i="11"/>
  <c r="AD657" i="11"/>
  <c r="AF657" i="11" s="1"/>
  <c r="AE656" i="11"/>
  <c r="AD656" i="11"/>
  <c r="AF656" i="11" s="1"/>
  <c r="AE655" i="11"/>
  <c r="AD655" i="11"/>
  <c r="AF655" i="11" s="1"/>
  <c r="AE654" i="11"/>
  <c r="AD654" i="11"/>
  <c r="AF654" i="11" s="1"/>
  <c r="AE653" i="11"/>
  <c r="AD653" i="11"/>
  <c r="AF653" i="11" s="1"/>
  <c r="AE652" i="11"/>
  <c r="AD652" i="11"/>
  <c r="AF652" i="11" s="1"/>
  <c r="AA652" i="11"/>
  <c r="Z652" i="11"/>
  <c r="Y652" i="11"/>
  <c r="O652" i="11"/>
  <c r="K652" i="11"/>
  <c r="H652" i="11"/>
  <c r="G652" i="11"/>
  <c r="F652" i="11" s="1"/>
  <c r="E652" i="11"/>
  <c r="AF651" i="11"/>
  <c r="AE651" i="11"/>
  <c r="AD651" i="11"/>
  <c r="Z651" i="11"/>
  <c r="U651" i="11"/>
  <c r="S651" i="11"/>
  <c r="AA651" i="11" s="1"/>
  <c r="R651" i="11"/>
  <c r="Q651" i="11"/>
  <c r="Y651" i="11" s="1"/>
  <c r="O651" i="11"/>
  <c r="K651" i="11"/>
  <c r="H651" i="11"/>
  <c r="G651" i="11"/>
  <c r="F651" i="11" s="1"/>
  <c r="V651" i="11" s="1"/>
  <c r="E651" i="11"/>
  <c r="AO650" i="11"/>
  <c r="AN650" i="11"/>
  <c r="AM650" i="11"/>
  <c r="AF650" i="11"/>
  <c r="AE650" i="11"/>
  <c r="AD650" i="11"/>
  <c r="U650" i="11"/>
  <c r="S650" i="11"/>
  <c r="AA650" i="11" s="1"/>
  <c r="R650" i="11"/>
  <c r="Z650" i="11" s="1"/>
  <c r="Q650" i="11"/>
  <c r="Y650" i="11" s="1"/>
  <c r="O650" i="11"/>
  <c r="K650" i="11"/>
  <c r="H650" i="11"/>
  <c r="E650" i="11"/>
  <c r="G650" i="11" s="1"/>
  <c r="AE649" i="11"/>
  <c r="AD649" i="11"/>
  <c r="AF649" i="11" s="1"/>
  <c r="AA649" i="11"/>
  <c r="Z649" i="11"/>
  <c r="Y649" i="11"/>
  <c r="W649" i="11"/>
  <c r="V649" i="11"/>
  <c r="U649" i="11"/>
  <c r="O649" i="11"/>
  <c r="K649" i="11"/>
  <c r="H649" i="11"/>
  <c r="G649" i="11"/>
  <c r="F649" i="11"/>
  <c r="E649" i="11"/>
  <c r="AE648" i="11"/>
  <c r="AD648" i="11"/>
  <c r="AF648" i="11" s="1"/>
  <c r="AA648" i="11"/>
  <c r="Z648" i="11"/>
  <c r="Y648" i="11"/>
  <c r="W648" i="11"/>
  <c r="V648" i="11"/>
  <c r="U648" i="11"/>
  <c r="O648" i="11"/>
  <c r="K648" i="11"/>
  <c r="H648" i="11"/>
  <c r="G648" i="11"/>
  <c r="F648" i="11" s="1"/>
  <c r="E648" i="11"/>
  <c r="AE647" i="11"/>
  <c r="AD647" i="11"/>
  <c r="AF647" i="11" s="1"/>
  <c r="AA647" i="11"/>
  <c r="Z647" i="11"/>
  <c r="Y647" i="11"/>
  <c r="W647" i="11"/>
  <c r="V647" i="11"/>
  <c r="U647" i="11"/>
  <c r="O647" i="11"/>
  <c r="K647" i="11"/>
  <c r="H647" i="11"/>
  <c r="G647" i="11"/>
  <c r="F647" i="11"/>
  <c r="E647" i="11"/>
  <c r="AP646" i="11"/>
  <c r="AO646" i="11"/>
  <c r="AN646" i="11"/>
  <c r="AM646" i="11"/>
  <c r="AE646" i="11"/>
  <c r="AD646" i="11"/>
  <c r="AF646" i="11" s="1"/>
  <c r="AA646" i="11"/>
  <c r="Z646" i="11"/>
  <c r="Y646" i="11"/>
  <c r="W646" i="11"/>
  <c r="V646" i="11"/>
  <c r="U646" i="11"/>
  <c r="O646" i="11"/>
  <c r="K646" i="11"/>
  <c r="H646" i="11"/>
  <c r="G646" i="11"/>
  <c r="F646" i="11" s="1"/>
  <c r="E646" i="11"/>
  <c r="AP645" i="11"/>
  <c r="AO645" i="11"/>
  <c r="AN645" i="11"/>
  <c r="AM645" i="11"/>
  <c r="AE645" i="11"/>
  <c r="AD645" i="11"/>
  <c r="AF645" i="11" s="1"/>
  <c r="AA645" i="11"/>
  <c r="Z645" i="11"/>
  <c r="Y645" i="11"/>
  <c r="W645" i="11"/>
  <c r="V645" i="11"/>
  <c r="U645" i="11"/>
  <c r="O645" i="11"/>
  <c r="K645" i="11"/>
  <c r="H645" i="11"/>
  <c r="G645" i="11"/>
  <c r="F645" i="11" s="1"/>
  <c r="E645" i="11"/>
  <c r="AP644" i="11"/>
  <c r="AO644" i="11"/>
  <c r="AN644" i="11"/>
  <c r="AM644" i="11"/>
  <c r="AE644" i="11"/>
  <c r="AD644" i="11"/>
  <c r="AF644" i="11" s="1"/>
  <c r="AA644" i="11"/>
  <c r="Z644" i="11"/>
  <c r="Y644" i="11"/>
  <c r="W644" i="11"/>
  <c r="V644" i="11"/>
  <c r="U644" i="11"/>
  <c r="O644" i="11"/>
  <c r="K644" i="11"/>
  <c r="H644" i="11"/>
  <c r="G644" i="11"/>
  <c r="F644" i="11" s="1"/>
  <c r="E644" i="11"/>
  <c r="AP643" i="11"/>
  <c r="AP649" i="11" s="1"/>
  <c r="AO643" i="11"/>
  <c r="AO649" i="11" s="1"/>
  <c r="AN643" i="11"/>
  <c r="AM643" i="11"/>
  <c r="AE643" i="11"/>
  <c r="AD643" i="11"/>
  <c r="AF643" i="11" s="1"/>
  <c r="AA643" i="11"/>
  <c r="Z643" i="11"/>
  <c r="Y643" i="11"/>
  <c r="W643" i="11"/>
  <c r="V643" i="11"/>
  <c r="U643" i="11"/>
  <c r="O643" i="11"/>
  <c r="K643" i="11"/>
  <c r="H643" i="11"/>
  <c r="G643" i="11"/>
  <c r="F643" i="11" s="1"/>
  <c r="E643" i="11"/>
  <c r="AE642" i="11"/>
  <c r="AD642" i="11"/>
  <c r="AF642" i="11" s="1"/>
  <c r="AA642" i="11"/>
  <c r="Z642" i="11"/>
  <c r="Y642" i="11"/>
  <c r="W642" i="11"/>
  <c r="V642" i="11"/>
  <c r="U642" i="11"/>
  <c r="O642" i="11"/>
  <c r="K642" i="11"/>
  <c r="H642" i="11"/>
  <c r="G642" i="11"/>
  <c r="F642" i="11" s="1"/>
  <c r="E642" i="11"/>
  <c r="AE641" i="11"/>
  <c r="AD641" i="11"/>
  <c r="AA641" i="11"/>
  <c r="Z641" i="11"/>
  <c r="Y641" i="11"/>
  <c r="W641" i="11"/>
  <c r="V641" i="11"/>
  <c r="U641" i="11"/>
  <c r="O641" i="11"/>
  <c r="K641" i="11"/>
  <c r="H641" i="11"/>
  <c r="G641" i="11"/>
  <c r="F641" i="11" s="1"/>
  <c r="E641" i="11"/>
  <c r="AA640" i="11"/>
  <c r="Z640" i="11"/>
  <c r="Y640" i="11"/>
  <c r="W640" i="11"/>
  <c r="V640" i="11"/>
  <c r="U640" i="11"/>
  <c r="K640" i="11"/>
  <c r="H640" i="11"/>
  <c r="G640" i="11"/>
  <c r="F640" i="11" s="1"/>
  <c r="E640" i="11"/>
  <c r="AA639" i="11"/>
  <c r="Z639" i="11"/>
  <c r="Y639" i="11"/>
  <c r="W639" i="11"/>
  <c r="V639" i="11"/>
  <c r="U639" i="11"/>
  <c r="O639" i="11"/>
  <c r="K639" i="11"/>
  <c r="H639" i="11"/>
  <c r="G639" i="11"/>
  <c r="F639" i="11" s="1"/>
  <c r="E639" i="11"/>
  <c r="AA638" i="11"/>
  <c r="Z638" i="11"/>
  <c r="Y638" i="11"/>
  <c r="W638" i="11"/>
  <c r="V638" i="11"/>
  <c r="U638" i="11"/>
  <c r="K638" i="11"/>
  <c r="H638" i="11"/>
  <c r="G638" i="11"/>
  <c r="F638" i="11" s="1"/>
  <c r="E638" i="11"/>
  <c r="AA637" i="11"/>
  <c r="Z637" i="11"/>
  <c r="Y637" i="11"/>
  <c r="W637" i="11"/>
  <c r="V637" i="11"/>
  <c r="U637" i="11"/>
  <c r="K637" i="11"/>
  <c r="H637" i="11"/>
  <c r="G637" i="11"/>
  <c r="F637" i="11" s="1"/>
  <c r="E637" i="11"/>
  <c r="C629" i="11"/>
  <c r="C628" i="11"/>
  <c r="C627" i="11"/>
  <c r="C626" i="11"/>
  <c r="C625" i="11"/>
  <c r="C624" i="11"/>
  <c r="C623" i="11"/>
  <c r="C622" i="11"/>
  <c r="C621" i="11"/>
  <c r="C620" i="11"/>
  <c r="C619" i="11"/>
  <c r="C618" i="11"/>
  <c r="C617" i="11"/>
  <c r="C616" i="11"/>
  <c r="C615" i="11"/>
  <c r="C614" i="11"/>
  <c r="C613" i="11"/>
  <c r="C612" i="11"/>
  <c r="C611" i="11"/>
  <c r="C610" i="11"/>
  <c r="C609" i="11"/>
  <c r="C608" i="11"/>
  <c r="C607" i="11"/>
  <c r="C606" i="11"/>
  <c r="C605" i="11"/>
  <c r="C604" i="11"/>
  <c r="C603" i="11"/>
  <c r="C602" i="11"/>
  <c r="C601" i="11"/>
  <c r="C600" i="11"/>
  <c r="C599" i="11"/>
  <c r="C598" i="11"/>
  <c r="C597" i="11"/>
  <c r="C596" i="11"/>
  <c r="C595" i="11"/>
  <c r="C594" i="11"/>
  <c r="C593" i="11"/>
  <c r="C592" i="11"/>
  <c r="C591" i="11"/>
  <c r="C590" i="11"/>
  <c r="C589" i="11"/>
  <c r="C588" i="11"/>
  <c r="C587" i="11"/>
  <c r="C586" i="11"/>
  <c r="C585" i="11"/>
  <c r="C584" i="11"/>
  <c r="C583" i="11"/>
  <c r="C582" i="11"/>
  <c r="C581" i="11"/>
  <c r="C580" i="11"/>
  <c r="C579" i="11"/>
  <c r="C578" i="11"/>
  <c r="C577" i="11"/>
  <c r="C576" i="11"/>
  <c r="C575" i="11"/>
  <c r="C574" i="11"/>
  <c r="C573" i="11"/>
  <c r="C572" i="11"/>
  <c r="C571" i="11"/>
  <c r="C570" i="11"/>
  <c r="C569" i="11"/>
  <c r="C568" i="11"/>
  <c r="C567" i="11"/>
  <c r="C566" i="11"/>
  <c r="C565" i="11"/>
  <c r="C564" i="11"/>
  <c r="D564" i="11" s="1"/>
  <c r="D554" i="11"/>
  <c r="F553" i="11"/>
  <c r="D553" i="11"/>
  <c r="H552" i="11" s="1"/>
  <c r="F552" i="11"/>
  <c r="F551" i="11"/>
  <c r="F533" i="11"/>
  <c r="F545" i="11" s="1"/>
  <c r="E533" i="11"/>
  <c r="E545" i="11" s="1"/>
  <c r="D533" i="11"/>
  <c r="D545" i="11" s="1"/>
  <c r="D548" i="11" s="1"/>
  <c r="G49" i="10" s="1"/>
  <c r="G526" i="11"/>
  <c r="G544" i="11" s="1"/>
  <c r="F39" i="9" s="1"/>
  <c r="F526" i="11"/>
  <c r="F544" i="11" s="1"/>
  <c r="E526" i="11"/>
  <c r="E544" i="11" s="1"/>
  <c r="F55" i="9" s="1"/>
  <c r="D526" i="11"/>
  <c r="D532" i="11" s="1"/>
  <c r="E521" i="11"/>
  <c r="F503" i="11"/>
  <c r="D503" i="11"/>
  <c r="C503" i="11"/>
  <c r="F502" i="11"/>
  <c r="D502" i="11"/>
  <c r="C502" i="11"/>
  <c r="G502" i="11" s="1"/>
  <c r="F501" i="11"/>
  <c r="D501" i="11"/>
  <c r="C501" i="11"/>
  <c r="G501" i="11" s="1"/>
  <c r="F500" i="11"/>
  <c r="D500" i="11"/>
  <c r="C500" i="11"/>
  <c r="G500" i="11" s="1"/>
  <c r="F499" i="11"/>
  <c r="D499" i="11"/>
  <c r="C499" i="11"/>
  <c r="G499" i="11" s="1"/>
  <c r="F498" i="11"/>
  <c r="D498" i="11"/>
  <c r="C498" i="11"/>
  <c r="G498" i="11" s="1"/>
  <c r="F497" i="11"/>
  <c r="D497" i="11"/>
  <c r="C497" i="11"/>
  <c r="G497" i="11" s="1"/>
  <c r="F496" i="11"/>
  <c r="D496" i="11"/>
  <c r="C496" i="11"/>
  <c r="G496" i="11" s="1"/>
  <c r="F495" i="11"/>
  <c r="D495" i="11"/>
  <c r="C495" i="11"/>
  <c r="G495" i="11" s="1"/>
  <c r="F494" i="11"/>
  <c r="D494" i="11"/>
  <c r="C494" i="11"/>
  <c r="G494" i="11" s="1"/>
  <c r="F493" i="11"/>
  <c r="D493" i="11"/>
  <c r="C493" i="11"/>
  <c r="G493" i="11" s="1"/>
  <c r="F492" i="11"/>
  <c r="D492" i="11"/>
  <c r="C492" i="11"/>
  <c r="G492" i="11" s="1"/>
  <c r="G491" i="11"/>
  <c r="F491" i="11"/>
  <c r="D491" i="11"/>
  <c r="C491" i="11"/>
  <c r="G490" i="11"/>
  <c r="F490" i="11"/>
  <c r="D490" i="11"/>
  <c r="C490" i="11"/>
  <c r="F489" i="11"/>
  <c r="D489" i="11"/>
  <c r="C489" i="11"/>
  <c r="G489" i="11" s="1"/>
  <c r="F488" i="11"/>
  <c r="D488" i="11"/>
  <c r="C488" i="11"/>
  <c r="G488" i="11" s="1"/>
  <c r="F487" i="11"/>
  <c r="D487" i="11"/>
  <c r="C487" i="11"/>
  <c r="G487" i="11" s="1"/>
  <c r="G486" i="11"/>
  <c r="F486" i="11"/>
  <c r="D486" i="11"/>
  <c r="C486" i="11"/>
  <c r="G485" i="11"/>
  <c r="F485" i="11"/>
  <c r="D485" i="11"/>
  <c r="C485" i="11"/>
  <c r="F484" i="11"/>
  <c r="D484" i="11"/>
  <c r="C484" i="11"/>
  <c r="G484" i="11" s="1"/>
  <c r="F244" i="11"/>
  <c r="D244" i="11"/>
  <c r="C244" i="11"/>
  <c r="G244" i="11" s="1"/>
  <c r="F243" i="11"/>
  <c r="D243" i="11"/>
  <c r="C243" i="11"/>
  <c r="G243" i="11" s="1"/>
  <c r="F242" i="11"/>
  <c r="D242" i="11"/>
  <c r="C242" i="11"/>
  <c r="G242" i="11" s="1"/>
  <c r="F241" i="11"/>
  <c r="D241" i="11"/>
  <c r="C241" i="11"/>
  <c r="G241" i="11" s="1"/>
  <c r="F240" i="11"/>
  <c r="D240" i="11"/>
  <c r="C240" i="11"/>
  <c r="G240" i="11" s="1"/>
  <c r="F239" i="11"/>
  <c r="D239" i="11"/>
  <c r="C239" i="11"/>
  <c r="G239" i="11" s="1"/>
  <c r="F238" i="11"/>
  <c r="D238" i="11"/>
  <c r="C238" i="11"/>
  <c r="G238" i="11" s="1"/>
  <c r="F237" i="11"/>
  <c r="D237" i="11"/>
  <c r="C237" i="11"/>
  <c r="G237" i="11" s="1"/>
  <c r="F236" i="11"/>
  <c r="D236" i="11"/>
  <c r="C236" i="11"/>
  <c r="G236" i="11" s="1"/>
  <c r="F235" i="11"/>
  <c r="D235" i="11"/>
  <c r="C235" i="11"/>
  <c r="G235" i="11" s="1"/>
  <c r="F234" i="11"/>
  <c r="D234" i="11"/>
  <c r="C234" i="11"/>
  <c r="G234" i="11" s="1"/>
  <c r="F233" i="11"/>
  <c r="D233" i="11"/>
  <c r="C233" i="11"/>
  <c r="G233" i="11" s="1"/>
  <c r="F232" i="11"/>
  <c r="D232" i="11"/>
  <c r="C232" i="11"/>
  <c r="G232" i="11" s="1"/>
  <c r="F231" i="11"/>
  <c r="D231" i="11"/>
  <c r="C231" i="11"/>
  <c r="G231" i="11" s="1"/>
  <c r="F230" i="11"/>
  <c r="D230" i="11"/>
  <c r="C230" i="11"/>
  <c r="G230" i="11" s="1"/>
  <c r="F229" i="11"/>
  <c r="D229" i="11"/>
  <c r="C229" i="11"/>
  <c r="G229" i="11" s="1"/>
  <c r="F228" i="11"/>
  <c r="D228" i="11"/>
  <c r="C228" i="11"/>
  <c r="G228" i="11" s="1"/>
  <c r="F227" i="11"/>
  <c r="D227" i="11"/>
  <c r="C227" i="11"/>
  <c r="G227" i="11" s="1"/>
  <c r="F226" i="11"/>
  <c r="D226" i="11"/>
  <c r="C226" i="11"/>
  <c r="G226" i="11" s="1"/>
  <c r="F225" i="11"/>
  <c r="D225" i="11"/>
  <c r="C225" i="11"/>
  <c r="G225" i="11" s="1"/>
  <c r="F224" i="11"/>
  <c r="D224" i="11"/>
  <c r="C224" i="11"/>
  <c r="G224" i="11" s="1"/>
  <c r="D223" i="11"/>
  <c r="C223" i="11"/>
  <c r="G223" i="11" s="1"/>
  <c r="F214" i="11"/>
  <c r="F213" i="11"/>
  <c r="F212" i="11"/>
  <c r="F211" i="11"/>
  <c r="F210" i="11"/>
  <c r="F209" i="11"/>
  <c r="F208" i="11"/>
  <c r="F207" i="11"/>
  <c r="F206" i="11"/>
  <c r="F205" i="11"/>
  <c r="F204" i="11"/>
  <c r="F203" i="11"/>
  <c r="F202" i="11"/>
  <c r="F201" i="11"/>
  <c r="F200" i="11"/>
  <c r="F199" i="11"/>
  <c r="F198" i="11"/>
  <c r="F197" i="11"/>
  <c r="F196" i="11"/>
  <c r="F195" i="11"/>
  <c r="F194" i="11"/>
  <c r="F193" i="11"/>
  <c r="H192" i="11"/>
  <c r="F192" i="11"/>
  <c r="C192" i="11"/>
  <c r="K192" i="11" s="1"/>
  <c r="L192" i="11" s="1"/>
  <c r="M192" i="11" s="1"/>
  <c r="F191" i="11"/>
  <c r="C191" i="11"/>
  <c r="K191" i="11" s="1"/>
  <c r="L191" i="11" s="1"/>
  <c r="M191" i="11" s="1"/>
  <c r="F190" i="11"/>
  <c r="C190" i="11"/>
  <c r="H190" i="11" s="1"/>
  <c r="F189" i="11"/>
  <c r="C189" i="11"/>
  <c r="K189" i="11" s="1"/>
  <c r="L189" i="11" s="1"/>
  <c r="M189" i="11" s="1"/>
  <c r="F188" i="11"/>
  <c r="C188" i="11"/>
  <c r="K188" i="11" s="1"/>
  <c r="L188" i="11" s="1"/>
  <c r="M188" i="11" s="1"/>
  <c r="K187" i="11"/>
  <c r="L187" i="11" s="1"/>
  <c r="M187" i="11" s="1"/>
  <c r="F187" i="11"/>
  <c r="C187" i="11"/>
  <c r="I186" i="11"/>
  <c r="F186" i="11"/>
  <c r="C186" i="11"/>
  <c r="H186" i="11" s="1"/>
  <c r="H185" i="11"/>
  <c r="F185" i="11"/>
  <c r="C185" i="11"/>
  <c r="K185" i="11" s="1"/>
  <c r="L185" i="11" s="1"/>
  <c r="M185" i="11" s="1"/>
  <c r="H184" i="11"/>
  <c r="F184" i="11"/>
  <c r="C184" i="11"/>
  <c r="K184" i="11" s="1"/>
  <c r="L184" i="11" s="1"/>
  <c r="M184" i="11" s="1"/>
  <c r="F183" i="11"/>
  <c r="C183" i="11"/>
  <c r="K183" i="11" s="1"/>
  <c r="L183" i="11" s="1"/>
  <c r="M183" i="11" s="1"/>
  <c r="F182" i="11"/>
  <c r="C182" i="11"/>
  <c r="H182" i="11" s="1"/>
  <c r="F181" i="11"/>
  <c r="C181" i="11"/>
  <c r="K181" i="11" s="1"/>
  <c r="L181" i="11" s="1"/>
  <c r="M181" i="11" s="1"/>
  <c r="F180" i="11"/>
  <c r="C180" i="11"/>
  <c r="K180" i="11" s="1"/>
  <c r="L180" i="11" s="1"/>
  <c r="M180" i="11" s="1"/>
  <c r="K179" i="11"/>
  <c r="L179" i="11" s="1"/>
  <c r="M179" i="11" s="1"/>
  <c r="F179" i="11"/>
  <c r="C179" i="11"/>
  <c r="I178" i="11"/>
  <c r="F178" i="11"/>
  <c r="C178" i="11"/>
  <c r="H178" i="11" s="1"/>
  <c r="H177" i="11"/>
  <c r="F177" i="11"/>
  <c r="C177" i="11"/>
  <c r="K177" i="11" s="1"/>
  <c r="L177" i="11" s="1"/>
  <c r="M177" i="11" s="1"/>
  <c r="H176" i="11"/>
  <c r="F176" i="11"/>
  <c r="C176" i="11"/>
  <c r="K176" i="11" s="1"/>
  <c r="L176" i="11" s="1"/>
  <c r="M176" i="11" s="1"/>
  <c r="F175" i="11"/>
  <c r="C175" i="11"/>
  <c r="K175" i="11" s="1"/>
  <c r="L175" i="11" s="1"/>
  <c r="M175" i="11" s="1"/>
  <c r="F174" i="11"/>
  <c r="C174" i="11"/>
  <c r="H174" i="11" s="1"/>
  <c r="F173" i="11"/>
  <c r="C173" i="11"/>
  <c r="K173" i="11" s="1"/>
  <c r="L173" i="11" s="1"/>
  <c r="M173" i="11" s="1"/>
  <c r="F172" i="11"/>
  <c r="C172" i="11"/>
  <c r="K172" i="11" s="1"/>
  <c r="L172" i="11" s="1"/>
  <c r="M172" i="11" s="1"/>
  <c r="F171" i="11"/>
  <c r="C171" i="11"/>
  <c r="K171" i="11" s="1"/>
  <c r="L171" i="11" s="1"/>
  <c r="M171" i="11" s="1"/>
  <c r="C167" i="11"/>
  <c r="T66" i="3"/>
  <c r="N166" i="11"/>
  <c r="M166" i="11"/>
  <c r="L166" i="11"/>
  <c r="K166" i="11"/>
  <c r="J166" i="11"/>
  <c r="I166" i="11"/>
  <c r="H166" i="11"/>
  <c r="G166" i="11"/>
  <c r="F166" i="11"/>
  <c r="E166" i="11"/>
  <c r="C166" i="11"/>
  <c r="T65" i="3"/>
  <c r="N165" i="11"/>
  <c r="M165" i="11"/>
  <c r="L165" i="11"/>
  <c r="K165" i="11"/>
  <c r="J165" i="11"/>
  <c r="I165" i="11"/>
  <c r="H165" i="11"/>
  <c r="G165" i="11"/>
  <c r="F165" i="11"/>
  <c r="E165" i="11"/>
  <c r="C165" i="11"/>
  <c r="T64" i="3"/>
  <c r="N164" i="11"/>
  <c r="M164" i="11"/>
  <c r="L164" i="11"/>
  <c r="K164" i="11"/>
  <c r="J164" i="11"/>
  <c r="I164" i="11"/>
  <c r="H164" i="11"/>
  <c r="G164" i="11"/>
  <c r="F164" i="11"/>
  <c r="E164" i="11"/>
  <c r="C164" i="11"/>
  <c r="T63" i="3"/>
  <c r="N163" i="11"/>
  <c r="M163" i="11"/>
  <c r="L163" i="11"/>
  <c r="K163" i="11"/>
  <c r="J163" i="11"/>
  <c r="I163" i="11"/>
  <c r="H163" i="11"/>
  <c r="G163" i="11"/>
  <c r="F163" i="11"/>
  <c r="E163" i="11"/>
  <c r="C163" i="11"/>
  <c r="T62" i="3"/>
  <c r="N162" i="11"/>
  <c r="M162" i="11"/>
  <c r="L162" i="11"/>
  <c r="K162" i="11"/>
  <c r="J162" i="11"/>
  <c r="I162" i="11"/>
  <c r="H162" i="11"/>
  <c r="G162" i="11"/>
  <c r="F162" i="11"/>
  <c r="E162" i="11"/>
  <c r="C162" i="11"/>
  <c r="T61" i="3"/>
  <c r="N161" i="11"/>
  <c r="M161" i="11"/>
  <c r="L161" i="11"/>
  <c r="K161" i="11"/>
  <c r="J161" i="11"/>
  <c r="I161" i="11"/>
  <c r="H161" i="11"/>
  <c r="G161" i="11"/>
  <c r="F161" i="11"/>
  <c r="E161" i="11"/>
  <c r="C161" i="11"/>
  <c r="T60" i="3"/>
  <c r="N160" i="11"/>
  <c r="M160" i="11"/>
  <c r="L160" i="11"/>
  <c r="K160" i="11"/>
  <c r="J160" i="11"/>
  <c r="I160" i="11"/>
  <c r="H160" i="11"/>
  <c r="G160" i="11"/>
  <c r="F160" i="11"/>
  <c r="E160" i="11"/>
  <c r="C160" i="11"/>
  <c r="T59" i="3"/>
  <c r="N159" i="11"/>
  <c r="M159" i="11"/>
  <c r="L159" i="11"/>
  <c r="K159" i="11"/>
  <c r="J159" i="11"/>
  <c r="I159" i="11"/>
  <c r="H159" i="11"/>
  <c r="G159" i="11"/>
  <c r="F159" i="11"/>
  <c r="E159" i="11"/>
  <c r="C159" i="11"/>
  <c r="T58" i="3"/>
  <c r="N158" i="11"/>
  <c r="M158" i="11"/>
  <c r="L158" i="11"/>
  <c r="K158" i="11"/>
  <c r="J158" i="11"/>
  <c r="I158" i="11"/>
  <c r="H158" i="11"/>
  <c r="G158" i="11"/>
  <c r="F158" i="11"/>
  <c r="E158" i="11"/>
  <c r="C158" i="11"/>
  <c r="T57" i="3"/>
  <c r="N157" i="11"/>
  <c r="M157" i="11"/>
  <c r="L157" i="11"/>
  <c r="K157" i="11"/>
  <c r="J157" i="11"/>
  <c r="I157" i="11"/>
  <c r="H157" i="11"/>
  <c r="G157" i="11"/>
  <c r="F157" i="11"/>
  <c r="E157" i="11"/>
  <c r="C157" i="11"/>
  <c r="T56" i="3"/>
  <c r="N156" i="11"/>
  <c r="M156" i="11"/>
  <c r="L156" i="11"/>
  <c r="K156" i="11"/>
  <c r="J156" i="11"/>
  <c r="I156" i="11"/>
  <c r="H156" i="11"/>
  <c r="G156" i="11"/>
  <c r="F156" i="11"/>
  <c r="E156" i="11"/>
  <c r="C156" i="11"/>
  <c r="T55" i="3"/>
  <c r="N155" i="11"/>
  <c r="M155" i="11"/>
  <c r="L155" i="11"/>
  <c r="K155" i="11"/>
  <c r="J155" i="11"/>
  <c r="I155" i="11"/>
  <c r="H155" i="11"/>
  <c r="G155" i="11"/>
  <c r="F155" i="11"/>
  <c r="E155" i="11"/>
  <c r="C155" i="11"/>
  <c r="T54" i="3"/>
  <c r="N154" i="11"/>
  <c r="M154" i="11"/>
  <c r="L154" i="11"/>
  <c r="K154" i="11"/>
  <c r="J154" i="11"/>
  <c r="I154" i="11"/>
  <c r="H154" i="11"/>
  <c r="G154" i="11"/>
  <c r="F154" i="11"/>
  <c r="E154" i="11"/>
  <c r="C154" i="11"/>
  <c r="T53" i="3"/>
  <c r="N153" i="11"/>
  <c r="M153" i="11"/>
  <c r="L153" i="11"/>
  <c r="K153" i="11"/>
  <c r="J153" i="11"/>
  <c r="I153" i="11"/>
  <c r="H153" i="11"/>
  <c r="G153" i="11"/>
  <c r="F153" i="11"/>
  <c r="E153" i="11"/>
  <c r="C153" i="11"/>
  <c r="T52" i="3"/>
  <c r="N152" i="11"/>
  <c r="M152" i="11"/>
  <c r="L152" i="11"/>
  <c r="K152" i="11"/>
  <c r="J152" i="11"/>
  <c r="I152" i="11"/>
  <c r="H152" i="11"/>
  <c r="G152" i="11"/>
  <c r="F152" i="11"/>
  <c r="E152" i="11"/>
  <c r="C152" i="11"/>
  <c r="T51" i="3"/>
  <c r="N151" i="11"/>
  <c r="M151" i="11"/>
  <c r="L151" i="11"/>
  <c r="K151" i="11"/>
  <c r="J151" i="11"/>
  <c r="I151" i="11"/>
  <c r="H151" i="11"/>
  <c r="G151" i="11"/>
  <c r="F151" i="11"/>
  <c r="E151" i="11"/>
  <c r="C151" i="11"/>
  <c r="T50" i="3"/>
  <c r="N150" i="11"/>
  <c r="M150" i="11"/>
  <c r="L150" i="11"/>
  <c r="K150" i="11"/>
  <c r="J150" i="11"/>
  <c r="I150" i="11"/>
  <c r="H150" i="11"/>
  <c r="G150" i="11"/>
  <c r="F150" i="11"/>
  <c r="E150" i="11"/>
  <c r="C150" i="11"/>
  <c r="T49" i="3"/>
  <c r="N149" i="11"/>
  <c r="M149" i="11"/>
  <c r="L149" i="11"/>
  <c r="K149" i="11"/>
  <c r="J149" i="11"/>
  <c r="I149" i="11"/>
  <c r="H149" i="11"/>
  <c r="G149" i="11"/>
  <c r="F149" i="11"/>
  <c r="E149" i="11"/>
  <c r="C149" i="11"/>
  <c r="N148" i="11"/>
  <c r="M148" i="11"/>
  <c r="L148" i="11"/>
  <c r="K148" i="11"/>
  <c r="J148" i="11"/>
  <c r="I148" i="11"/>
  <c r="H148" i="11"/>
  <c r="G148" i="11"/>
  <c r="F148" i="11"/>
  <c r="E148" i="11"/>
  <c r="C148" i="11"/>
  <c r="N142" i="11"/>
  <c r="M142" i="11"/>
  <c r="L142" i="11"/>
  <c r="K142" i="11"/>
  <c r="J142" i="11"/>
  <c r="I142" i="11"/>
  <c r="H142" i="11"/>
  <c r="G142" i="11"/>
  <c r="F142" i="11"/>
  <c r="E142" i="11"/>
  <c r="N141" i="11"/>
  <c r="M141" i="11"/>
  <c r="L141" i="11"/>
  <c r="K141" i="11"/>
  <c r="J141" i="11"/>
  <c r="I141" i="11"/>
  <c r="H141" i="11"/>
  <c r="G141" i="11"/>
  <c r="F141" i="11"/>
  <c r="E141" i="11"/>
  <c r="N140" i="11"/>
  <c r="M140" i="11"/>
  <c r="L140" i="11"/>
  <c r="K140" i="11"/>
  <c r="J140" i="11"/>
  <c r="I140" i="11"/>
  <c r="H140" i="11"/>
  <c r="G140" i="11"/>
  <c r="F140" i="11"/>
  <c r="E140" i="11"/>
  <c r="N139" i="11"/>
  <c r="M139" i="11"/>
  <c r="L139" i="11"/>
  <c r="K139" i="11"/>
  <c r="J139" i="11"/>
  <c r="I139" i="11"/>
  <c r="H139" i="11"/>
  <c r="G139" i="11"/>
  <c r="F139" i="11"/>
  <c r="E139" i="11"/>
  <c r="C139" i="11"/>
  <c r="N138" i="11"/>
  <c r="M138" i="11"/>
  <c r="L138" i="11"/>
  <c r="K138" i="11"/>
  <c r="J138" i="11"/>
  <c r="I138" i="11"/>
  <c r="H138" i="11"/>
  <c r="G138" i="11"/>
  <c r="F138" i="11"/>
  <c r="E138" i="11"/>
  <c r="C138" i="11"/>
  <c r="N137" i="11"/>
  <c r="M137" i="11"/>
  <c r="L137" i="11"/>
  <c r="K137" i="11"/>
  <c r="J137" i="11"/>
  <c r="I137" i="11"/>
  <c r="H137" i="11"/>
  <c r="G137" i="11"/>
  <c r="F137" i="11"/>
  <c r="E137" i="11"/>
  <c r="C137" i="11"/>
  <c r="N136" i="11"/>
  <c r="M136" i="11"/>
  <c r="L136" i="11"/>
  <c r="K136" i="11"/>
  <c r="J136" i="11"/>
  <c r="I136" i="11"/>
  <c r="H136" i="11"/>
  <c r="G136" i="11"/>
  <c r="F136" i="11"/>
  <c r="E136" i="11"/>
  <c r="C136" i="11"/>
  <c r="N135" i="11"/>
  <c r="M135" i="11"/>
  <c r="L135" i="11"/>
  <c r="K135" i="11"/>
  <c r="J135" i="11"/>
  <c r="I135" i="11"/>
  <c r="H135" i="11"/>
  <c r="G135" i="11"/>
  <c r="F135" i="11"/>
  <c r="E135" i="11"/>
  <c r="C135" i="11"/>
  <c r="N134" i="11"/>
  <c r="M134" i="11"/>
  <c r="L134" i="11"/>
  <c r="K134" i="11"/>
  <c r="J134" i="11"/>
  <c r="I134" i="11"/>
  <c r="H134" i="11"/>
  <c r="G134" i="11"/>
  <c r="F134" i="11"/>
  <c r="E134" i="11"/>
  <c r="C134" i="11"/>
  <c r="N133" i="11"/>
  <c r="M133" i="11"/>
  <c r="L133" i="11"/>
  <c r="K133" i="11"/>
  <c r="J133" i="11"/>
  <c r="I133" i="11"/>
  <c r="H133" i="11"/>
  <c r="G133" i="11"/>
  <c r="F133" i="11"/>
  <c r="E133" i="11"/>
  <c r="C133" i="11"/>
  <c r="N132" i="11"/>
  <c r="M132" i="11"/>
  <c r="L132" i="11"/>
  <c r="K132" i="11"/>
  <c r="J132" i="11"/>
  <c r="I132" i="11"/>
  <c r="H132" i="11"/>
  <c r="G132" i="11"/>
  <c r="F132" i="11"/>
  <c r="E132" i="11"/>
  <c r="C132" i="11"/>
  <c r="N131" i="11"/>
  <c r="M131" i="11"/>
  <c r="L131" i="11"/>
  <c r="K131" i="11"/>
  <c r="J131" i="11"/>
  <c r="I131" i="11"/>
  <c r="H131" i="11"/>
  <c r="G131" i="11"/>
  <c r="F131" i="11"/>
  <c r="E131" i="11"/>
  <c r="C131" i="11"/>
  <c r="N130" i="11"/>
  <c r="M130" i="11"/>
  <c r="L130" i="11"/>
  <c r="K130" i="11"/>
  <c r="J130" i="11"/>
  <c r="I130" i="11"/>
  <c r="H130" i="11"/>
  <c r="G130" i="11"/>
  <c r="F130" i="11"/>
  <c r="E130" i="11"/>
  <c r="C130" i="11"/>
  <c r="N129" i="11"/>
  <c r="M129" i="11"/>
  <c r="L129" i="11"/>
  <c r="K129" i="11"/>
  <c r="J129" i="11"/>
  <c r="I129" i="11"/>
  <c r="H129" i="11"/>
  <c r="G129" i="11"/>
  <c r="F129" i="11"/>
  <c r="E129" i="11"/>
  <c r="C129" i="11"/>
  <c r="N128" i="11"/>
  <c r="M128" i="11"/>
  <c r="L128" i="11"/>
  <c r="K128" i="11"/>
  <c r="J128" i="11"/>
  <c r="I128" i="11"/>
  <c r="H128" i="11"/>
  <c r="G128" i="11"/>
  <c r="F128" i="11"/>
  <c r="E128" i="11"/>
  <c r="C128" i="11"/>
  <c r="N127" i="11"/>
  <c r="M127" i="11"/>
  <c r="L127" i="11"/>
  <c r="K127" i="11"/>
  <c r="J127" i="11"/>
  <c r="I127" i="11"/>
  <c r="H127" i="11"/>
  <c r="G127" i="11"/>
  <c r="F127" i="11"/>
  <c r="E127" i="11"/>
  <c r="C127" i="11"/>
  <c r="N126" i="11"/>
  <c r="M126" i="11"/>
  <c r="L126" i="11"/>
  <c r="K126" i="11"/>
  <c r="J126" i="11"/>
  <c r="I126" i="11"/>
  <c r="H126" i="11"/>
  <c r="G126" i="11"/>
  <c r="F126" i="11"/>
  <c r="E126" i="11"/>
  <c r="C126" i="11"/>
  <c r="N125" i="11"/>
  <c r="M125" i="11"/>
  <c r="L125" i="11"/>
  <c r="K125" i="11"/>
  <c r="J125" i="11"/>
  <c r="I125" i="11"/>
  <c r="H125" i="11"/>
  <c r="G125" i="11"/>
  <c r="F125" i="11"/>
  <c r="E125" i="11"/>
  <c r="C125" i="11"/>
  <c r="N124" i="11"/>
  <c r="M124" i="11"/>
  <c r="L124" i="11"/>
  <c r="K124" i="11"/>
  <c r="J124" i="11"/>
  <c r="I124" i="11"/>
  <c r="H124" i="11"/>
  <c r="G124" i="11"/>
  <c r="F124" i="11"/>
  <c r="E124" i="11"/>
  <c r="C124" i="11"/>
  <c r="E123" i="11"/>
  <c r="C123" i="11"/>
  <c r="G122" i="11"/>
  <c r="C122" i="11"/>
  <c r="N121" i="11"/>
  <c r="M121" i="11"/>
  <c r="L121" i="11"/>
  <c r="K121" i="11"/>
  <c r="J121" i="11"/>
  <c r="I121" i="11"/>
  <c r="H121" i="11"/>
  <c r="G121" i="11"/>
  <c r="F121" i="11"/>
  <c r="E121" i="11"/>
  <c r="C121" i="11"/>
  <c r="N120" i="11"/>
  <c r="M120" i="11"/>
  <c r="L120" i="11"/>
  <c r="K120" i="11"/>
  <c r="J120" i="11"/>
  <c r="I120" i="11"/>
  <c r="H120" i="11"/>
  <c r="G120" i="11"/>
  <c r="F120" i="11"/>
  <c r="E120" i="11"/>
  <c r="C120" i="11"/>
  <c r="N119" i="11"/>
  <c r="M119" i="11"/>
  <c r="L119" i="11"/>
  <c r="K119" i="11"/>
  <c r="J119" i="11"/>
  <c r="I119" i="11"/>
  <c r="H119" i="11"/>
  <c r="G119" i="11"/>
  <c r="F119" i="11"/>
  <c r="E119" i="11"/>
  <c r="C119" i="11"/>
  <c r="N118" i="11"/>
  <c r="M118" i="11"/>
  <c r="L118" i="11"/>
  <c r="K118" i="11"/>
  <c r="J118" i="11"/>
  <c r="I118" i="11"/>
  <c r="H118" i="11"/>
  <c r="G118" i="11"/>
  <c r="F118" i="11"/>
  <c r="E118" i="11"/>
  <c r="C118" i="11"/>
  <c r="M102" i="11"/>
  <c r="N123" i="11" s="1"/>
  <c r="L102" i="11"/>
  <c r="M123" i="11" s="1"/>
  <c r="K102" i="11"/>
  <c r="L123" i="11" s="1"/>
  <c r="J102" i="11"/>
  <c r="K123" i="11" s="1"/>
  <c r="I102" i="11"/>
  <c r="J123" i="11" s="1"/>
  <c r="H102" i="11"/>
  <c r="I123" i="11" s="1"/>
  <c r="G102" i="11"/>
  <c r="H123" i="11" s="1"/>
  <c r="F102" i="11"/>
  <c r="G123" i="11" s="1"/>
  <c r="E102" i="11"/>
  <c r="F123" i="11" s="1"/>
  <c r="D102" i="11"/>
  <c r="M101" i="11"/>
  <c r="N122" i="11" s="1"/>
  <c r="L101" i="11"/>
  <c r="M122" i="11" s="1"/>
  <c r="K101" i="11"/>
  <c r="L122" i="11" s="1"/>
  <c r="J101" i="11"/>
  <c r="K122" i="11" s="1"/>
  <c r="I101" i="11"/>
  <c r="J122" i="11" s="1"/>
  <c r="H101" i="11"/>
  <c r="I122" i="11" s="1"/>
  <c r="G101" i="11"/>
  <c r="H122" i="11" s="1"/>
  <c r="F101" i="11"/>
  <c r="E101" i="11"/>
  <c r="F122" i="11" s="1"/>
  <c r="D101" i="11"/>
  <c r="E122" i="11" s="1"/>
  <c r="F2" i="11"/>
  <c r="I37" i="10"/>
  <c r="I45" i="10" s="1"/>
  <c r="G14" i="10"/>
  <c r="I37" i="9"/>
  <c r="I45" i="9" s="1"/>
  <c r="G14" i="9"/>
  <c r="J10" i="8"/>
  <c r="J35" i="5"/>
  <c r="J34" i="5"/>
  <c r="J33" i="5"/>
  <c r="J32" i="5"/>
  <c r="J31" i="5"/>
  <c r="J30" i="5"/>
  <c r="J29" i="5"/>
  <c r="J28" i="5"/>
  <c r="J27" i="5"/>
  <c r="J26" i="5"/>
  <c r="J25" i="5"/>
  <c r="J24" i="5"/>
  <c r="J23" i="5"/>
  <c r="J22" i="5"/>
  <c r="J21" i="5"/>
  <c r="J20" i="5"/>
  <c r="J19" i="5"/>
  <c r="J18" i="5"/>
  <c r="J17" i="5"/>
  <c r="J16" i="5"/>
  <c r="J15" i="5"/>
  <c r="J14" i="5"/>
  <c r="G12" i="5"/>
  <c r="P27" i="4"/>
  <c r="O27" i="4" s="1"/>
  <c r="P19" i="4"/>
  <c r="O19" i="4" s="1"/>
  <c r="T67" i="3"/>
  <c r="H44" i="2"/>
  <c r="H43" i="2"/>
  <c r="H42" i="2"/>
  <c r="H32" i="2"/>
  <c r="L32" i="2" s="1"/>
  <c r="H31" i="2"/>
  <c r="L31" i="2" s="1"/>
  <c r="H30" i="2"/>
  <c r="L30" i="2" s="1"/>
  <c r="H21" i="2"/>
  <c r="H28" i="2" s="1"/>
  <c r="Y6" i="2"/>
  <c r="E520" i="11" s="1"/>
  <c r="G5" i="10" s="1"/>
  <c r="Y5" i="2"/>
  <c r="E519" i="11" s="1"/>
  <c r="G3" i="10" s="1"/>
  <c r="AF454" i="11"/>
  <c r="H79" i="10" l="1"/>
  <c r="N78" i="10"/>
  <c r="J76" i="10"/>
  <c r="P76" i="10" s="1"/>
  <c r="G77" i="10"/>
  <c r="G78" i="10" s="1"/>
  <c r="J78" i="10" s="1"/>
  <c r="F80" i="10"/>
  <c r="F81" i="10" s="1"/>
  <c r="E76" i="9"/>
  <c r="E667" i="11"/>
  <c r="E77" i="9" s="1"/>
  <c r="F75" i="9"/>
  <c r="I75" i="9"/>
  <c r="G75" i="9"/>
  <c r="G76" i="9" s="1"/>
  <c r="H75" i="9"/>
  <c r="H76" i="9" s="1"/>
  <c r="N75" i="9"/>
  <c r="K17" i="5"/>
  <c r="L17" i="5"/>
  <c r="K29" i="5"/>
  <c r="L29" i="5"/>
  <c r="K33" i="5"/>
  <c r="L33" i="5"/>
  <c r="L14" i="5"/>
  <c r="K14" i="5" s="1"/>
  <c r="L18" i="5"/>
  <c r="K18" i="5"/>
  <c r="K22" i="5"/>
  <c r="L22" i="5"/>
  <c r="L26" i="5"/>
  <c r="K26" i="5"/>
  <c r="L30" i="5"/>
  <c r="K30" i="5"/>
  <c r="L34" i="5"/>
  <c r="K34" i="5"/>
  <c r="K21" i="5"/>
  <c r="L21" i="5"/>
  <c r="L15" i="5"/>
  <c r="K15" i="5"/>
  <c r="L19" i="5"/>
  <c r="K19" i="5"/>
  <c r="L23" i="5"/>
  <c r="K23" i="5"/>
  <c r="L27" i="5"/>
  <c r="K27" i="5"/>
  <c r="L31" i="5"/>
  <c r="K31" i="5"/>
  <c r="L35" i="5"/>
  <c r="K35" i="5"/>
  <c r="K25" i="5"/>
  <c r="L25" i="5"/>
  <c r="L16" i="5"/>
  <c r="K16" i="5"/>
  <c r="K20" i="5"/>
  <c r="L20" i="5"/>
  <c r="L24" i="5"/>
  <c r="K24" i="5"/>
  <c r="L28" i="5"/>
  <c r="K28" i="5"/>
  <c r="K32" i="5"/>
  <c r="L32" i="5"/>
  <c r="I173" i="11"/>
  <c r="P14" i="4" s="1"/>
  <c r="O14" i="4" s="1"/>
  <c r="I176" i="11"/>
  <c r="P17" i="4" s="1"/>
  <c r="O17" i="4" s="1"/>
  <c r="I177" i="11"/>
  <c r="P18" i="4" s="1"/>
  <c r="O18" i="4" s="1"/>
  <c r="I181" i="11"/>
  <c r="P22" i="4" s="1"/>
  <c r="O22" i="4" s="1"/>
  <c r="I184" i="11"/>
  <c r="P25" i="4" s="1"/>
  <c r="O25" i="4" s="1"/>
  <c r="I185" i="11"/>
  <c r="P26" i="4" s="1"/>
  <c r="O26" i="4" s="1"/>
  <c r="I189" i="11"/>
  <c r="P30" i="4" s="1"/>
  <c r="O30" i="4" s="1"/>
  <c r="I192" i="11"/>
  <c r="P33" i="4" s="1"/>
  <c r="O33" i="4" s="1"/>
  <c r="I180" i="11"/>
  <c r="P21" i="4" s="1"/>
  <c r="O21" i="4" s="1"/>
  <c r="I188" i="11"/>
  <c r="P29" i="4" s="1"/>
  <c r="O29" i="4" s="1"/>
  <c r="V652" i="11"/>
  <c r="AG651" i="11"/>
  <c r="AG655" i="11"/>
  <c r="AG657" i="11"/>
  <c r="AG659" i="11"/>
  <c r="W652" i="11"/>
  <c r="W651" i="11"/>
  <c r="AG126" i="11"/>
  <c r="AH126" i="11" s="1"/>
  <c r="AI126" i="11" s="1"/>
  <c r="AJ126" i="11"/>
  <c r="AK126" i="11" s="1"/>
  <c r="AL126" i="11" s="1"/>
  <c r="AG118" i="11"/>
  <c r="AJ118" i="11"/>
  <c r="AK118" i="11" s="1"/>
  <c r="AL118" i="11" s="1"/>
  <c r="AG122" i="11"/>
  <c r="AH122" i="11" s="1"/>
  <c r="AI122" i="11" s="1"/>
  <c r="AJ122" i="11"/>
  <c r="AK122" i="11" s="1"/>
  <c r="AL122" i="11" s="1"/>
  <c r="AG125" i="11"/>
  <c r="AH125" i="11" s="1"/>
  <c r="AI125" i="11" s="1"/>
  <c r="AJ125" i="11"/>
  <c r="AK125" i="11" s="1"/>
  <c r="AL125" i="11" s="1"/>
  <c r="AG129" i="11"/>
  <c r="AH129" i="11" s="1"/>
  <c r="AI129" i="11" s="1"/>
  <c r="AJ129" i="11"/>
  <c r="AK129" i="11" s="1"/>
  <c r="AL129" i="11" s="1"/>
  <c r="AG133" i="11"/>
  <c r="AH133" i="11" s="1"/>
  <c r="AI133" i="11" s="1"/>
  <c r="AJ133" i="11"/>
  <c r="AK133" i="11" s="1"/>
  <c r="AL133" i="11" s="1"/>
  <c r="AG137" i="11"/>
  <c r="AH137" i="11" s="1"/>
  <c r="AI137" i="11" s="1"/>
  <c r="AJ137" i="11"/>
  <c r="AK137" i="11" s="1"/>
  <c r="AL137" i="11" s="1"/>
  <c r="AG120" i="11"/>
  <c r="AH120" i="11" s="1"/>
  <c r="AI120" i="11" s="1"/>
  <c r="AJ120" i="11"/>
  <c r="AK120" i="11" s="1"/>
  <c r="AL120" i="11" s="1"/>
  <c r="AG123" i="11"/>
  <c r="AH123" i="11" s="1"/>
  <c r="AI123" i="11" s="1"/>
  <c r="AJ123" i="11"/>
  <c r="AK123" i="11" s="1"/>
  <c r="AL123" i="11" s="1"/>
  <c r="AG127" i="11"/>
  <c r="AH127" i="11" s="1"/>
  <c r="AI127" i="11" s="1"/>
  <c r="AJ127" i="11"/>
  <c r="AK127" i="11" s="1"/>
  <c r="AL127" i="11" s="1"/>
  <c r="AG131" i="11"/>
  <c r="AH131" i="11" s="1"/>
  <c r="AI131" i="11" s="1"/>
  <c r="AJ131" i="11"/>
  <c r="AK131" i="11" s="1"/>
  <c r="AL131" i="11" s="1"/>
  <c r="AG135" i="11"/>
  <c r="AH135" i="11" s="1"/>
  <c r="AI135" i="11" s="1"/>
  <c r="AJ135" i="11"/>
  <c r="AK135" i="11" s="1"/>
  <c r="AL135" i="11" s="1"/>
  <c r="AG139" i="11"/>
  <c r="AH139" i="11" s="1"/>
  <c r="AI139" i="11" s="1"/>
  <c r="AJ139" i="11"/>
  <c r="AK139" i="11" s="1"/>
  <c r="AL139" i="11" s="1"/>
  <c r="AJ149" i="11"/>
  <c r="AK149" i="11" s="1"/>
  <c r="AL149" i="11" s="1"/>
  <c r="AG149" i="11"/>
  <c r="AH149" i="11" s="1"/>
  <c r="AI149" i="11" s="1"/>
  <c r="AJ150" i="11"/>
  <c r="AK150" i="11" s="1"/>
  <c r="AL150" i="11" s="1"/>
  <c r="AG150" i="11"/>
  <c r="AH150" i="11" s="1"/>
  <c r="AI150" i="11" s="1"/>
  <c r="AJ151" i="11"/>
  <c r="AK151" i="11" s="1"/>
  <c r="AL151" i="11" s="1"/>
  <c r="AG151" i="11"/>
  <c r="AH151" i="11" s="1"/>
  <c r="AI151" i="11" s="1"/>
  <c r="AJ152" i="11"/>
  <c r="AK152" i="11" s="1"/>
  <c r="AL152" i="11" s="1"/>
  <c r="AG152" i="11"/>
  <c r="AH152" i="11" s="1"/>
  <c r="AI152" i="11" s="1"/>
  <c r="AJ153" i="11"/>
  <c r="AK153" i="11" s="1"/>
  <c r="AL153" i="11" s="1"/>
  <c r="AG153" i="11"/>
  <c r="AH153" i="11" s="1"/>
  <c r="AI153" i="11" s="1"/>
  <c r="AJ154" i="11"/>
  <c r="AK154" i="11" s="1"/>
  <c r="AL154" i="11" s="1"/>
  <c r="AG154" i="11"/>
  <c r="AH154" i="11" s="1"/>
  <c r="AI154" i="11" s="1"/>
  <c r="AJ155" i="11"/>
  <c r="AK155" i="11" s="1"/>
  <c r="AL155" i="11" s="1"/>
  <c r="AG155" i="11"/>
  <c r="AH155" i="11" s="1"/>
  <c r="AI155" i="11" s="1"/>
  <c r="AJ156" i="11"/>
  <c r="AK156" i="11" s="1"/>
  <c r="AL156" i="11" s="1"/>
  <c r="AG156" i="11"/>
  <c r="AH156" i="11" s="1"/>
  <c r="AI156" i="11" s="1"/>
  <c r="AJ157" i="11"/>
  <c r="AK157" i="11" s="1"/>
  <c r="AL157" i="11" s="1"/>
  <c r="AG157" i="11"/>
  <c r="AH157" i="11" s="1"/>
  <c r="AI157" i="11" s="1"/>
  <c r="AJ158" i="11"/>
  <c r="AK158" i="11" s="1"/>
  <c r="AL158" i="11" s="1"/>
  <c r="AG158" i="11"/>
  <c r="AH158" i="11" s="1"/>
  <c r="AI158" i="11" s="1"/>
  <c r="AJ159" i="11"/>
  <c r="AK159" i="11" s="1"/>
  <c r="AL159" i="11" s="1"/>
  <c r="AG159" i="11"/>
  <c r="AH159" i="11" s="1"/>
  <c r="AI159" i="11" s="1"/>
  <c r="AJ160" i="11"/>
  <c r="AK160" i="11" s="1"/>
  <c r="AL160" i="11" s="1"/>
  <c r="AG160" i="11"/>
  <c r="AH160" i="11" s="1"/>
  <c r="AI160" i="11" s="1"/>
  <c r="AJ161" i="11"/>
  <c r="AK161" i="11" s="1"/>
  <c r="AL161" i="11" s="1"/>
  <c r="AG161" i="11"/>
  <c r="AH161" i="11" s="1"/>
  <c r="AI161" i="11" s="1"/>
  <c r="AJ162" i="11"/>
  <c r="AK162" i="11" s="1"/>
  <c r="AL162" i="11" s="1"/>
  <c r="AG162" i="11"/>
  <c r="AH162" i="11" s="1"/>
  <c r="AI162" i="11" s="1"/>
  <c r="AJ163" i="11"/>
  <c r="AK163" i="11" s="1"/>
  <c r="AL163" i="11" s="1"/>
  <c r="AG163" i="11"/>
  <c r="AH163" i="11" s="1"/>
  <c r="AI163" i="11" s="1"/>
  <c r="AJ164" i="11"/>
  <c r="AK164" i="11" s="1"/>
  <c r="AL164" i="11" s="1"/>
  <c r="AG164" i="11"/>
  <c r="AH164" i="11" s="1"/>
  <c r="AI164" i="11" s="1"/>
  <c r="AJ165" i="11"/>
  <c r="AK165" i="11" s="1"/>
  <c r="AL165" i="11" s="1"/>
  <c r="AG165" i="11"/>
  <c r="AH165" i="11" s="1"/>
  <c r="AI165" i="11" s="1"/>
  <c r="AJ166" i="11"/>
  <c r="AK166" i="11" s="1"/>
  <c r="AL166" i="11" s="1"/>
  <c r="AG166" i="11"/>
  <c r="AH166" i="11" s="1"/>
  <c r="AI166" i="11" s="1"/>
  <c r="AJ167" i="11"/>
  <c r="AK167" i="11" s="1"/>
  <c r="AL167" i="11" s="1"/>
  <c r="AG167" i="11"/>
  <c r="AH167" i="11" s="1"/>
  <c r="AI167" i="11" s="1"/>
  <c r="AG119" i="11"/>
  <c r="AH119" i="11" s="1"/>
  <c r="AI119" i="11" s="1"/>
  <c r="AJ119" i="11"/>
  <c r="AK119" i="11" s="1"/>
  <c r="AL119" i="11" s="1"/>
  <c r="AG130" i="11"/>
  <c r="AH130" i="11" s="1"/>
  <c r="AI130" i="11" s="1"/>
  <c r="AJ130" i="11"/>
  <c r="AK130" i="11" s="1"/>
  <c r="AL130" i="11" s="1"/>
  <c r="AG134" i="11"/>
  <c r="AH134" i="11" s="1"/>
  <c r="AI134" i="11" s="1"/>
  <c r="AJ134" i="11"/>
  <c r="AK134" i="11" s="1"/>
  <c r="AL134" i="11" s="1"/>
  <c r="AG138" i="11"/>
  <c r="AH138" i="11" s="1"/>
  <c r="AI138" i="11" s="1"/>
  <c r="AJ138" i="11"/>
  <c r="AK138" i="11" s="1"/>
  <c r="AL138" i="11" s="1"/>
  <c r="AJ148" i="11"/>
  <c r="AK148" i="11" s="1"/>
  <c r="AL148" i="11" s="1"/>
  <c r="AG148" i="11"/>
  <c r="AH148" i="11" s="1"/>
  <c r="AI148" i="11" s="1"/>
  <c r="AG121" i="11"/>
  <c r="AH121" i="11" s="1"/>
  <c r="AI121" i="11" s="1"/>
  <c r="AJ121" i="11"/>
  <c r="AK121" i="11" s="1"/>
  <c r="AL121" i="11" s="1"/>
  <c r="AG124" i="11"/>
  <c r="AH124" i="11" s="1"/>
  <c r="AI124" i="11" s="1"/>
  <c r="AJ124" i="11"/>
  <c r="AK124" i="11" s="1"/>
  <c r="AL124" i="11" s="1"/>
  <c r="AG128" i="11"/>
  <c r="AH128" i="11" s="1"/>
  <c r="AI128" i="11" s="1"/>
  <c r="AJ128" i="11"/>
  <c r="AK128" i="11" s="1"/>
  <c r="AL128" i="11" s="1"/>
  <c r="AG132" i="11"/>
  <c r="AH132" i="11" s="1"/>
  <c r="AI132" i="11" s="1"/>
  <c r="AJ132" i="11"/>
  <c r="AK132" i="11" s="1"/>
  <c r="AL132" i="11" s="1"/>
  <c r="AG136" i="11"/>
  <c r="AH136" i="11" s="1"/>
  <c r="AI136" i="11" s="1"/>
  <c r="AJ136" i="11"/>
  <c r="AK136" i="11" s="1"/>
  <c r="AL136" i="11" s="1"/>
  <c r="H171" i="11"/>
  <c r="D546" i="11"/>
  <c r="G45" i="10" s="1"/>
  <c r="H173" i="11"/>
  <c r="I174" i="11"/>
  <c r="P15" i="4" s="1"/>
  <c r="O15" i="4" s="1"/>
  <c r="H180" i="11"/>
  <c r="H181" i="11"/>
  <c r="I182" i="11"/>
  <c r="P23" i="4" s="1"/>
  <c r="O23" i="4" s="1"/>
  <c r="H188" i="11"/>
  <c r="H189" i="11"/>
  <c r="I190" i="11"/>
  <c r="P31" i="4" s="1"/>
  <c r="O31" i="4" s="1"/>
  <c r="AG656" i="11"/>
  <c r="AG658" i="11"/>
  <c r="AG660" i="11"/>
  <c r="U68" i="3"/>
  <c r="AP168" i="11" s="1"/>
  <c r="F63" i="10"/>
  <c r="F63" i="9"/>
  <c r="F39" i="10"/>
  <c r="I53" i="10"/>
  <c r="F55" i="10"/>
  <c r="D547" i="11"/>
  <c r="G47" i="10" s="1"/>
  <c r="I61" i="10"/>
  <c r="I61" i="9"/>
  <c r="AG652" i="11"/>
  <c r="I30" i="2"/>
  <c r="G532" i="11"/>
  <c r="I32" i="2"/>
  <c r="E532" i="11"/>
  <c r="D544" i="11"/>
  <c r="G3" i="9"/>
  <c r="L51" i="6"/>
  <c r="H40" i="2"/>
  <c r="Q118" i="11"/>
  <c r="AG644" i="11"/>
  <c r="AG648" i="11"/>
  <c r="Q121" i="11"/>
  <c r="Q122" i="11"/>
  <c r="AG642" i="11"/>
  <c r="AG646" i="11"/>
  <c r="Q120" i="11"/>
  <c r="AG650" i="11"/>
  <c r="I172" i="11"/>
  <c r="P13" i="4" s="1"/>
  <c r="O13" i="4" s="1"/>
  <c r="H172" i="11"/>
  <c r="I171" i="11"/>
  <c r="P12" i="4" s="1"/>
  <c r="O12" i="4" s="1"/>
  <c r="I31" i="2"/>
  <c r="T48" i="3"/>
  <c r="T68" i="3" s="1"/>
  <c r="G5" i="9"/>
  <c r="K49" i="7"/>
  <c r="I53" i="9"/>
  <c r="Q137" i="11"/>
  <c r="AN137" i="11" s="1"/>
  <c r="Q155" i="11"/>
  <c r="AN155" i="11" s="1"/>
  <c r="Q163" i="11"/>
  <c r="AN163" i="11" s="1"/>
  <c r="G503" i="11"/>
  <c r="E546" i="11"/>
  <c r="G53" i="10" s="1"/>
  <c r="E547" i="11"/>
  <c r="G55" i="10" s="1"/>
  <c r="E548" i="11"/>
  <c r="G57" i="10" s="1"/>
  <c r="Q119" i="11"/>
  <c r="Q123" i="11"/>
  <c r="Q125" i="11"/>
  <c r="Q129" i="11"/>
  <c r="Q133" i="11"/>
  <c r="AN133" i="11" s="1"/>
  <c r="Q136" i="11"/>
  <c r="AN136" i="11" s="1"/>
  <c r="Q149" i="11"/>
  <c r="Q157" i="11"/>
  <c r="AN157" i="11" s="1"/>
  <c r="Q165" i="11"/>
  <c r="AN165" i="11" s="1"/>
  <c r="F548" i="11"/>
  <c r="G65" i="10" s="1"/>
  <c r="F547" i="11"/>
  <c r="G63" i="10" s="1"/>
  <c r="F546" i="11"/>
  <c r="G61" i="10" s="1"/>
  <c r="Q124" i="11"/>
  <c r="Q126" i="11"/>
  <c r="Q128" i="11"/>
  <c r="Q130" i="11"/>
  <c r="Q132" i="11"/>
  <c r="AN132" i="11" s="1"/>
  <c r="Q151" i="11"/>
  <c r="Q159" i="11"/>
  <c r="AN159" i="11" s="1"/>
  <c r="I175" i="11"/>
  <c r="P16" i="4" s="1"/>
  <c r="O16" i="4" s="1"/>
  <c r="H175" i="11"/>
  <c r="I179" i="11"/>
  <c r="P20" i="4" s="1"/>
  <c r="O20" i="4" s="1"/>
  <c r="H179" i="11"/>
  <c r="I183" i="11"/>
  <c r="P24" i="4" s="1"/>
  <c r="O24" i="4" s="1"/>
  <c r="H183" i="11"/>
  <c r="I187" i="11"/>
  <c r="P28" i="4" s="1"/>
  <c r="O28" i="4" s="1"/>
  <c r="H187" i="11"/>
  <c r="I191" i="11"/>
  <c r="P32" i="4" s="1"/>
  <c r="O32" i="4" s="1"/>
  <c r="H191" i="11"/>
  <c r="AD635" i="11"/>
  <c r="AD638" i="11" s="1"/>
  <c r="Q166" i="11"/>
  <c r="AN166" i="11" s="1"/>
  <c r="Q164" i="11"/>
  <c r="AN164" i="11" s="1"/>
  <c r="Q162" i="11"/>
  <c r="AN162" i="11" s="1"/>
  <c r="Q160" i="11"/>
  <c r="AN160" i="11" s="1"/>
  <c r="Q158" i="11"/>
  <c r="AN158" i="11" s="1"/>
  <c r="Q156" i="11"/>
  <c r="AN156" i="11" s="1"/>
  <c r="Q154" i="11"/>
  <c r="AN154" i="11" s="1"/>
  <c r="Q152" i="11"/>
  <c r="AN152" i="11" s="1"/>
  <c r="Q150" i="11"/>
  <c r="Q139" i="11"/>
  <c r="Q135" i="11"/>
  <c r="AN135" i="11" s="1"/>
  <c r="Q131" i="11"/>
  <c r="AN131" i="11" s="1"/>
  <c r="Q127" i="11"/>
  <c r="Q148" i="11"/>
  <c r="Q138" i="11"/>
  <c r="AN138" i="11" s="1"/>
  <c r="Q134" i="11"/>
  <c r="AN134" i="11" s="1"/>
  <c r="Q153" i="11"/>
  <c r="AN153" i="11" s="1"/>
  <c r="Q161" i="11"/>
  <c r="AN161" i="11" s="1"/>
  <c r="Q167" i="11"/>
  <c r="AN167" i="11" s="1"/>
  <c r="K174" i="11"/>
  <c r="L174" i="11" s="1"/>
  <c r="M174" i="11" s="1"/>
  <c r="K178" i="11"/>
  <c r="L178" i="11" s="1"/>
  <c r="M178" i="11" s="1"/>
  <c r="K182" i="11"/>
  <c r="L182" i="11" s="1"/>
  <c r="M182" i="11" s="1"/>
  <c r="K186" i="11"/>
  <c r="L186" i="11" s="1"/>
  <c r="M186" i="11" s="1"/>
  <c r="K190" i="11"/>
  <c r="L190" i="11" s="1"/>
  <c r="M190" i="11" s="1"/>
  <c r="F504" i="11"/>
  <c r="F650" i="11"/>
  <c r="V650" i="11" s="1"/>
  <c r="W650" i="11" s="1"/>
  <c r="F532" i="11"/>
  <c r="D565" i="11"/>
  <c r="E564" i="11" s="1"/>
  <c r="AG643" i="11"/>
  <c r="AG645" i="11"/>
  <c r="AG647" i="11"/>
  <c r="AG649" i="11"/>
  <c r="AM649" i="11"/>
  <c r="AG654" i="11"/>
  <c r="AN649" i="11"/>
  <c r="AG653" i="11"/>
  <c r="H80" i="10" l="1"/>
  <c r="I76" i="9"/>
  <c r="I77" i="9" s="1"/>
  <c r="N76" i="9"/>
  <c r="N77" i="9" s="1"/>
  <c r="F76" i="9"/>
  <c r="P78" i="10"/>
  <c r="N79" i="10"/>
  <c r="J77" i="10"/>
  <c r="P77" i="10" s="1"/>
  <c r="G79" i="10"/>
  <c r="J79" i="10" s="1"/>
  <c r="F82" i="10"/>
  <c r="G77" i="9"/>
  <c r="H77" i="9"/>
  <c r="E668" i="11"/>
  <c r="K75" i="9"/>
  <c r="P75" i="9" s="1"/>
  <c r="M18" i="5"/>
  <c r="H26" i="10" s="1"/>
  <c r="D542" i="11" s="1"/>
  <c r="M14" i="5"/>
  <c r="H26" i="9" s="1"/>
  <c r="AL659" i="11" s="1"/>
  <c r="R148" i="11"/>
  <c r="AH118" i="11"/>
  <c r="AI118" i="11" s="1"/>
  <c r="AO167" i="11"/>
  <c r="AO154" i="11"/>
  <c r="AO161" i="11"/>
  <c r="AO156" i="11"/>
  <c r="AO164" i="11"/>
  <c r="AO157" i="11"/>
  <c r="AO163" i="11"/>
  <c r="AO165" i="11"/>
  <c r="AO153" i="11"/>
  <c r="AO158" i="11"/>
  <c r="AO166" i="11"/>
  <c r="AO159" i="11"/>
  <c r="AO155" i="11"/>
  <c r="AO162" i="11"/>
  <c r="AO152" i="11"/>
  <c r="AO160" i="11"/>
  <c r="F47" i="10"/>
  <c r="F47" i="9"/>
  <c r="D566" i="11"/>
  <c r="D567" i="11" s="1"/>
  <c r="AF641" i="11"/>
  <c r="AD637" i="11"/>
  <c r="Q12" i="4"/>
  <c r="Q16" i="4"/>
  <c r="H25" i="10" s="1"/>
  <c r="E542" i="11" s="1"/>
  <c r="H81" i="10" l="1"/>
  <c r="P79" i="10"/>
  <c r="K76" i="9"/>
  <c r="P76" i="9" s="1"/>
  <c r="F77" i="9"/>
  <c r="K77" i="9" s="1"/>
  <c r="P77" i="9" s="1"/>
  <c r="N80" i="10"/>
  <c r="G80" i="10"/>
  <c r="J80" i="10" s="1"/>
  <c r="F83" i="10"/>
  <c r="E78" i="9"/>
  <c r="E669" i="11"/>
  <c r="E79" i="9" s="1"/>
  <c r="O171" i="11"/>
  <c r="H25" i="9"/>
  <c r="AM659" i="11" s="1"/>
  <c r="R151" i="11"/>
  <c r="AN151" i="11" s="1"/>
  <c r="AO151" i="11" s="1"/>
  <c r="N51" i="3" s="1"/>
  <c r="N66" i="3"/>
  <c r="R166" i="11"/>
  <c r="N61" i="3"/>
  <c r="R161" i="11"/>
  <c r="N52" i="3"/>
  <c r="R152" i="11"/>
  <c r="N53" i="3"/>
  <c r="R153" i="11"/>
  <c r="N67" i="3"/>
  <c r="R167" i="11"/>
  <c r="AN148" i="11"/>
  <c r="AO148" i="11" s="1"/>
  <c r="N48" i="3" s="1"/>
  <c r="N62" i="3"/>
  <c r="R162" i="11"/>
  <c r="N63" i="3"/>
  <c r="R163" i="11"/>
  <c r="N60" i="3"/>
  <c r="R160" i="11"/>
  <c r="N55" i="3"/>
  <c r="R155" i="11"/>
  <c r="N58" i="3"/>
  <c r="R158" i="11"/>
  <c r="N57" i="3"/>
  <c r="R157" i="11"/>
  <c r="N54" i="3"/>
  <c r="R154" i="11"/>
  <c r="N64" i="3"/>
  <c r="R164" i="11"/>
  <c r="R150" i="11"/>
  <c r="AN150" i="11" s="1"/>
  <c r="AO150" i="11" s="1"/>
  <c r="N50" i="3" s="1"/>
  <c r="N59" i="3"/>
  <c r="R159" i="11"/>
  <c r="N65" i="3"/>
  <c r="R165" i="11"/>
  <c r="N56" i="3"/>
  <c r="R156" i="11"/>
  <c r="R149" i="11"/>
  <c r="R125" i="11"/>
  <c r="R127" i="11"/>
  <c r="R132" i="11"/>
  <c r="AO132" i="11"/>
  <c r="M32" i="3" s="1"/>
  <c r="R118" i="11"/>
  <c r="R129" i="11"/>
  <c r="R139" i="11"/>
  <c r="AN139" i="11" s="1"/>
  <c r="AO139" i="11"/>
  <c r="M39" i="3" s="1"/>
  <c r="R122" i="11"/>
  <c r="R124" i="11"/>
  <c r="R137" i="11"/>
  <c r="AO137" i="11"/>
  <c r="M37" i="3" s="1"/>
  <c r="R136" i="11"/>
  <c r="AO136" i="11"/>
  <c r="M36" i="3" s="1"/>
  <c r="R131" i="11"/>
  <c r="AO131" i="11"/>
  <c r="M31" i="3" s="1"/>
  <c r="R121" i="11"/>
  <c r="R128" i="11"/>
  <c r="R119" i="11"/>
  <c r="R138" i="11"/>
  <c r="AO138" i="11"/>
  <c r="M38" i="3" s="1"/>
  <c r="R120" i="11"/>
  <c r="R130" i="11"/>
  <c r="R133" i="11"/>
  <c r="AO133" i="11"/>
  <c r="M33" i="3" s="1"/>
  <c r="R135" i="11"/>
  <c r="AO135" i="11"/>
  <c r="M35" i="3" s="1"/>
  <c r="R123" i="11"/>
  <c r="R126" i="11"/>
  <c r="R134" i="11"/>
  <c r="AO134" i="11"/>
  <c r="M34" i="3" s="1"/>
  <c r="F223" i="11"/>
  <c r="F245" i="11" s="1"/>
  <c r="C507" i="11" s="1"/>
  <c r="E565" i="11"/>
  <c r="D568" i="11"/>
  <c r="D569" i="11" s="1"/>
  <c r="K21" i="6"/>
  <c r="H29" i="9" s="1"/>
  <c r="AG641" i="11"/>
  <c r="AH641" i="11" s="1"/>
  <c r="H82" i="10" l="1"/>
  <c r="H83" i="10" s="1"/>
  <c r="H84" i="10" s="1"/>
  <c r="H85" i="10" s="1"/>
  <c r="H86" i="10" s="1"/>
  <c r="H87" i="10" s="1"/>
  <c r="H88" i="10" s="1"/>
  <c r="H89" i="10" s="1"/>
  <c r="H90" i="10" s="1"/>
  <c r="H91" i="10" s="1"/>
  <c r="H92" i="10" s="1"/>
  <c r="H93" i="10" s="1"/>
  <c r="H94" i="10" s="1"/>
  <c r="H95" i="10" s="1"/>
  <c r="H96" i="10" s="1"/>
  <c r="H97" i="10" s="1"/>
  <c r="H98" i="10" s="1"/>
  <c r="H99" i="10" s="1"/>
  <c r="H100" i="10" s="1"/>
  <c r="H101" i="10" s="1"/>
  <c r="H102" i="10" s="1"/>
  <c r="H103" i="10" s="1"/>
  <c r="H104" i="10" s="1"/>
  <c r="H105" i="10" s="1"/>
  <c r="H106" i="10" s="1"/>
  <c r="H107" i="10" s="1"/>
  <c r="P80" i="10"/>
  <c r="N81" i="10"/>
  <c r="G81" i="10"/>
  <c r="F84" i="10"/>
  <c r="E670" i="11"/>
  <c r="H78" i="9"/>
  <c r="H79" i="9" s="1"/>
  <c r="G78" i="9"/>
  <c r="G79" i="9" s="1"/>
  <c r="F78" i="9"/>
  <c r="N78" i="9"/>
  <c r="N79" i="9" s="1"/>
  <c r="I78" i="9"/>
  <c r="I79" i="9" s="1"/>
  <c r="H17" i="9"/>
  <c r="AN654" i="11" s="1"/>
  <c r="AN130" i="11"/>
  <c r="AO130" i="11" s="1"/>
  <c r="M30" i="3" s="1"/>
  <c r="AN119" i="11"/>
  <c r="AO119" i="11" s="1"/>
  <c r="AN120" i="11"/>
  <c r="AO120" i="11" s="1"/>
  <c r="AN128" i="11"/>
  <c r="AO128" i="11" s="1"/>
  <c r="M28" i="3" s="1"/>
  <c r="AN124" i="11"/>
  <c r="AO124" i="11" s="1"/>
  <c r="M24" i="3" s="1"/>
  <c r="AN129" i="11"/>
  <c r="AO129" i="11" s="1"/>
  <c r="M29" i="3" s="1"/>
  <c r="AN127" i="11"/>
  <c r="AO127" i="11" s="1"/>
  <c r="M27" i="3" s="1"/>
  <c r="AN123" i="11"/>
  <c r="AO123" i="11" s="1"/>
  <c r="M23" i="3" s="1"/>
  <c r="AN149" i="11"/>
  <c r="AO149" i="11" s="1"/>
  <c r="N49" i="3" s="1"/>
  <c r="N68" i="3" s="1"/>
  <c r="V48" i="3" s="1"/>
  <c r="AO126" i="11"/>
  <c r="M26" i="3" s="1"/>
  <c r="AN126" i="11"/>
  <c r="AN121" i="11"/>
  <c r="AO121" i="11" s="1"/>
  <c r="M21" i="3" s="1"/>
  <c r="AO122" i="11"/>
  <c r="M22" i="3" s="1"/>
  <c r="AN122" i="11"/>
  <c r="AN118" i="11"/>
  <c r="AO118" i="11" s="1"/>
  <c r="AN125" i="11"/>
  <c r="AO125" i="11" s="1"/>
  <c r="M25" i="3" s="1"/>
  <c r="E566" i="11"/>
  <c r="E567" i="11"/>
  <c r="D570" i="11"/>
  <c r="H108" i="10" l="1"/>
  <c r="H109" i="10" s="1"/>
  <c r="H110" i="10" s="1"/>
  <c r="H111" i="10" s="1"/>
  <c r="H112" i="10" s="1"/>
  <c r="H113" i="10" s="1"/>
  <c r="H114" i="10" s="1"/>
  <c r="H115" i="10" s="1"/>
  <c r="H116" i="10" s="1"/>
  <c r="H117" i="10" s="1"/>
  <c r="H118" i="10" s="1"/>
  <c r="H119" i="10" s="1"/>
  <c r="H120" i="10" s="1"/>
  <c r="H121" i="10" s="1"/>
  <c r="H122" i="10" s="1"/>
  <c r="H123" i="10" s="1"/>
  <c r="H124" i="10" s="1"/>
  <c r="H125" i="10" s="1"/>
  <c r="H126" i="10" s="1"/>
  <c r="H127" i="10" s="1"/>
  <c r="H128" i="10" s="1"/>
  <c r="H129" i="10" s="1"/>
  <c r="H130" i="10" s="1"/>
  <c r="H131" i="10" s="1"/>
  <c r="H132" i="10" s="1"/>
  <c r="H133" i="10" s="1"/>
  <c r="H134" i="10" s="1"/>
  <c r="H135" i="10" s="1"/>
  <c r="H136" i="10" s="1"/>
  <c r="H137" i="10" s="1"/>
  <c r="H138" i="10" s="1"/>
  <c r="H139" i="10" s="1"/>
  <c r="H140" i="10" s="1"/>
  <c r="H141" i="10" s="1"/>
  <c r="H142" i="10" s="1"/>
  <c r="H143" i="10" s="1"/>
  <c r="H144" i="10" s="1"/>
  <c r="H145" i="10" s="1"/>
  <c r="H146" i="10" s="1"/>
  <c r="H147" i="10" s="1"/>
  <c r="H148" i="10" s="1"/>
  <c r="H149" i="10" s="1"/>
  <c r="H150" i="10" s="1"/>
  <c r="H151" i="10" s="1"/>
  <c r="H152" i="10" s="1"/>
  <c r="H153" i="10" s="1"/>
  <c r="H154" i="10" s="1"/>
  <c r="H155" i="10" s="1"/>
  <c r="H156" i="10" s="1"/>
  <c r="H157" i="10" s="1"/>
  <c r="H158" i="10" s="1"/>
  <c r="H159" i="10" s="1"/>
  <c r="H160" i="10" s="1"/>
  <c r="H161" i="10" s="1"/>
  <c r="H162" i="10" s="1"/>
  <c r="H163" i="10" s="1"/>
  <c r="H164" i="10" s="1"/>
  <c r="H165" i="10" s="1"/>
  <c r="H166" i="10" s="1"/>
  <c r="H167" i="10" s="1"/>
  <c r="H168" i="10" s="1"/>
  <c r="H169" i="10" s="1"/>
  <c r="H170" i="10" s="1"/>
  <c r="H171" i="10" s="1"/>
  <c r="H172" i="10" s="1"/>
  <c r="H173" i="10" s="1"/>
  <c r="H174" i="10" s="1"/>
  <c r="H175" i="10" s="1"/>
  <c r="H176" i="10" s="1"/>
  <c r="H177" i="10" s="1"/>
  <c r="H178" i="10" s="1"/>
  <c r="H179" i="10" s="1"/>
  <c r="H180" i="10" s="1"/>
  <c r="H181" i="10" s="1"/>
  <c r="H182" i="10" s="1"/>
  <c r="H183" i="10" s="1"/>
  <c r="H184" i="10" s="1"/>
  <c r="H185" i="10" s="1"/>
  <c r="H186" i="10" s="1"/>
  <c r="H187" i="10" s="1"/>
  <c r="H188" i="10" s="1"/>
  <c r="H189" i="10" s="1"/>
  <c r="H190" i="10" s="1"/>
  <c r="H191" i="10" s="1"/>
  <c r="H192" i="10" s="1"/>
  <c r="H193" i="10" s="1"/>
  <c r="H194" i="10" s="1"/>
  <c r="H195" i="10" s="1"/>
  <c r="H196" i="10" s="1"/>
  <c r="H197" i="10" s="1"/>
  <c r="H198" i="10" s="1"/>
  <c r="H199" i="10" s="1"/>
  <c r="H200" i="10" s="1"/>
  <c r="H201" i="10" s="1"/>
  <c r="H202" i="10" s="1"/>
  <c r="H203" i="10" s="1"/>
  <c r="H204" i="10" s="1"/>
  <c r="H205" i="10" s="1"/>
  <c r="H206" i="10" s="1"/>
  <c r="H207" i="10" s="1"/>
  <c r="H208" i="10" s="1"/>
  <c r="H209" i="10" s="1"/>
  <c r="H210" i="10" s="1"/>
  <c r="H211" i="10" s="1"/>
  <c r="H212" i="10" s="1"/>
  <c r="H213" i="10" s="1"/>
  <c r="H214" i="10" s="1"/>
  <c r="H215" i="10" s="1"/>
  <c r="H216" i="10" s="1"/>
  <c r="H217" i="10" s="1"/>
  <c r="H218" i="10" s="1"/>
  <c r="H219" i="10" s="1"/>
  <c r="H220" i="10" s="1"/>
  <c r="H221" i="10" s="1"/>
  <c r="H222" i="10" s="1"/>
  <c r="H223" i="10" s="1"/>
  <c r="H224" i="10" s="1"/>
  <c r="H225" i="10" s="1"/>
  <c r="H226" i="10" s="1"/>
  <c r="H227" i="10" s="1"/>
  <c r="H228" i="10" s="1"/>
  <c r="H229" i="10" s="1"/>
  <c r="H230" i="10" s="1"/>
  <c r="H231" i="10" s="1"/>
  <c r="H232" i="10" s="1"/>
  <c r="H233" i="10" s="1"/>
  <c r="H234" i="10" s="1"/>
  <c r="H235" i="10" s="1"/>
  <c r="H236" i="10" s="1"/>
  <c r="H237" i="10" s="1"/>
  <c r="H238" i="10" s="1"/>
  <c r="H239" i="10" s="1"/>
  <c r="H240" i="10" s="1"/>
  <c r="H241" i="10" s="1"/>
  <c r="H242" i="10" s="1"/>
  <c r="H243" i="10" s="1"/>
  <c r="H244" i="10" s="1"/>
  <c r="H245" i="10" s="1"/>
  <c r="H246" i="10" s="1"/>
  <c r="H247" i="10" s="1"/>
  <c r="H248" i="10" s="1"/>
  <c r="H249" i="10" s="1"/>
  <c r="H250" i="10" s="1"/>
  <c r="H251" i="10" s="1"/>
  <c r="H252" i="10" s="1"/>
  <c r="H253" i="10" s="1"/>
  <c r="H254" i="10" s="1"/>
  <c r="H255" i="10" s="1"/>
  <c r="H256" i="10" s="1"/>
  <c r="H257" i="10" s="1"/>
  <c r="H258" i="10" s="1"/>
  <c r="H259" i="10" s="1"/>
  <c r="H260" i="10" s="1"/>
  <c r="H261" i="10" s="1"/>
  <c r="H262" i="10" s="1"/>
  <c r="H263" i="10" s="1"/>
  <c r="H264" i="10" s="1"/>
  <c r="H265" i="10" s="1"/>
  <c r="H266" i="10" s="1"/>
  <c r="H267" i="10" s="1"/>
  <c r="H268" i="10" s="1"/>
  <c r="H269" i="10" s="1"/>
  <c r="H270" i="10" s="1"/>
  <c r="H271" i="10" s="1"/>
  <c r="H272" i="10" s="1"/>
  <c r="H273" i="10" s="1"/>
  <c r="H274" i="10" s="1"/>
  <c r="H275" i="10" s="1"/>
  <c r="H276" i="10" s="1"/>
  <c r="H277" i="10" s="1"/>
  <c r="H278" i="10" s="1"/>
  <c r="H279" i="10" s="1"/>
  <c r="H280" i="10" s="1"/>
  <c r="H281" i="10" s="1"/>
  <c r="H282" i="10" s="1"/>
  <c r="H283" i="10" s="1"/>
  <c r="H284" i="10" s="1"/>
  <c r="H285" i="10" s="1"/>
  <c r="H286" i="10" s="1"/>
  <c r="H287" i="10" s="1"/>
  <c r="H288" i="10" s="1"/>
  <c r="H289" i="10" s="1"/>
  <c r="H290" i="10" s="1"/>
  <c r="H291" i="10" s="1"/>
  <c r="H292" i="10" s="1"/>
  <c r="H293" i="10" s="1"/>
  <c r="H294" i="10" s="1"/>
  <c r="H295" i="10" s="1"/>
  <c r="H296" i="10" s="1"/>
  <c r="H297" i="10" s="1"/>
  <c r="H298" i="10" s="1"/>
  <c r="H299" i="10" s="1"/>
  <c r="H300" i="10" s="1"/>
  <c r="H301" i="10" s="1"/>
  <c r="H302" i="10" s="1"/>
  <c r="H303" i="10" s="1"/>
  <c r="H304" i="10" s="1"/>
  <c r="H305" i="10" s="1"/>
  <c r="H306" i="10" s="1"/>
  <c r="H307" i="10" s="1"/>
  <c r="H308" i="10" s="1"/>
  <c r="H309" i="10" s="1"/>
  <c r="H310" i="10" s="1"/>
  <c r="H311" i="10" s="1"/>
  <c r="H312" i="10" s="1"/>
  <c r="H313" i="10" s="1"/>
  <c r="H314" i="10" s="1"/>
  <c r="H315" i="10" s="1"/>
  <c r="H316" i="10" s="1"/>
  <c r="H317" i="10" s="1"/>
  <c r="H318" i="10" s="1"/>
  <c r="H319" i="10" s="1"/>
  <c r="H320" i="10" s="1"/>
  <c r="H321" i="10" s="1"/>
  <c r="N82" i="10"/>
  <c r="J81" i="10"/>
  <c r="P81" i="10" s="1"/>
  <c r="G82" i="10"/>
  <c r="J82" i="10" s="1"/>
  <c r="F85" i="10"/>
  <c r="K78" i="9"/>
  <c r="P78" i="9" s="1"/>
  <c r="E671" i="11"/>
  <c r="E672" i="11" s="1"/>
  <c r="E82" i="9" s="1"/>
  <c r="E80" i="9"/>
  <c r="F79" i="9"/>
  <c r="K79" i="9" s="1"/>
  <c r="P79" i="9" s="1"/>
  <c r="H24" i="9"/>
  <c r="AN659" i="11" s="1"/>
  <c r="O68" i="3"/>
  <c r="AO168" i="11" s="1"/>
  <c r="AR148" i="11" s="1"/>
  <c r="M20" i="3"/>
  <c r="M19" i="3"/>
  <c r="AQ118" i="11"/>
  <c r="M18" i="3"/>
  <c r="E568" i="11"/>
  <c r="D571" i="11"/>
  <c r="P82" i="10" l="1"/>
  <c r="N83" i="10"/>
  <c r="G83" i="10"/>
  <c r="J83" i="10" s="1"/>
  <c r="F86" i="10"/>
  <c r="F80" i="9"/>
  <c r="I80" i="9"/>
  <c r="H80" i="9"/>
  <c r="G80" i="9"/>
  <c r="N80" i="9"/>
  <c r="E81" i="9"/>
  <c r="N81" i="9" s="1"/>
  <c r="E673" i="11"/>
  <c r="V53" i="3"/>
  <c r="H24" i="10" s="1"/>
  <c r="F542" i="11" s="1"/>
  <c r="O22" i="3"/>
  <c r="H23" i="10" s="1"/>
  <c r="G542" i="11" s="1"/>
  <c r="O18" i="3"/>
  <c r="H23" i="9" s="1"/>
  <c r="E569" i="11"/>
  <c r="D572" i="11"/>
  <c r="N84" i="10" l="1"/>
  <c r="N85" i="10" s="1"/>
  <c r="N86" i="10" s="1"/>
  <c r="P83" i="10"/>
  <c r="G84" i="10"/>
  <c r="J84" i="10" s="1"/>
  <c r="G541" i="11"/>
  <c r="D541" i="11"/>
  <c r="E541" i="11"/>
  <c r="F541" i="11"/>
  <c r="F87" i="10"/>
  <c r="H81" i="9"/>
  <c r="H82" i="9" s="1"/>
  <c r="H83" i="9" s="1"/>
  <c r="F81" i="9"/>
  <c r="F82" i="9" s="1"/>
  <c r="K80" i="9"/>
  <c r="P80" i="9" s="1"/>
  <c r="N82" i="9"/>
  <c r="G81" i="9"/>
  <c r="G82" i="9" s="1"/>
  <c r="I81" i="9"/>
  <c r="I82" i="9" s="1"/>
  <c r="E674" i="11"/>
  <c r="E83" i="9"/>
  <c r="H27" i="10"/>
  <c r="H16" i="10" s="1"/>
  <c r="D537" i="11" s="1"/>
  <c r="O92" i="3"/>
  <c r="O91" i="3"/>
  <c r="E570" i="11"/>
  <c r="D573" i="11"/>
  <c r="P84" i="10" l="1"/>
  <c r="N87" i="10"/>
  <c r="N88" i="10" s="1"/>
  <c r="N89" i="10" s="1"/>
  <c r="N90" i="10" s="1"/>
  <c r="N91" i="10" s="1"/>
  <c r="N92" i="10" s="1"/>
  <c r="N93" i="10" s="1"/>
  <c r="N94" i="10" s="1"/>
  <c r="N95" i="10" s="1"/>
  <c r="N96" i="10" s="1"/>
  <c r="N97" i="10" s="1"/>
  <c r="N98" i="10" s="1"/>
  <c r="N99" i="10" s="1"/>
  <c r="N100" i="10" s="1"/>
  <c r="N101" i="10" s="1"/>
  <c r="N102" i="10" s="1"/>
  <c r="N103" i="10" s="1"/>
  <c r="N104" i="10" s="1"/>
  <c r="N105" i="10" s="1"/>
  <c r="N106" i="10" s="1"/>
  <c r="N107" i="10" s="1"/>
  <c r="N108" i="10" s="1"/>
  <c r="N109" i="10" s="1"/>
  <c r="N110" i="10" s="1"/>
  <c r="N111" i="10" s="1"/>
  <c r="N112" i="10" s="1"/>
  <c r="N113" i="10" s="1"/>
  <c r="N114" i="10" s="1"/>
  <c r="N115" i="10" s="1"/>
  <c r="N116" i="10" s="1"/>
  <c r="N117" i="10" s="1"/>
  <c r="N118" i="10" s="1"/>
  <c r="N119" i="10" s="1"/>
  <c r="N120" i="10" s="1"/>
  <c r="N121" i="10" s="1"/>
  <c r="N122" i="10" s="1"/>
  <c r="N123" i="10" s="1"/>
  <c r="N124" i="10" s="1"/>
  <c r="N125" i="10" s="1"/>
  <c r="N126" i="10" s="1"/>
  <c r="N127" i="10" s="1"/>
  <c r="N128" i="10" s="1"/>
  <c r="N129" i="10" s="1"/>
  <c r="N130" i="10" s="1"/>
  <c r="N131" i="10" s="1"/>
  <c r="N132" i="10" s="1"/>
  <c r="N133" i="10" s="1"/>
  <c r="N134" i="10" s="1"/>
  <c r="N135" i="10" s="1"/>
  <c r="N136" i="10" s="1"/>
  <c r="N137" i="10" s="1"/>
  <c r="N138" i="10" s="1"/>
  <c r="N139" i="10" s="1"/>
  <c r="N140" i="10" s="1"/>
  <c r="N141" i="10" s="1"/>
  <c r="N142" i="10" s="1"/>
  <c r="N143" i="10" s="1"/>
  <c r="N144" i="10" s="1"/>
  <c r="N145" i="10" s="1"/>
  <c r="N146" i="10" s="1"/>
  <c r="N147" i="10" s="1"/>
  <c r="N148" i="10" s="1"/>
  <c r="N149" i="10" s="1"/>
  <c r="N150" i="10" s="1"/>
  <c r="N151" i="10" s="1"/>
  <c r="N152" i="10" s="1"/>
  <c r="N153" i="10" s="1"/>
  <c r="N154" i="10" s="1"/>
  <c r="N155" i="10" s="1"/>
  <c r="N156" i="10" s="1"/>
  <c r="N157" i="10" s="1"/>
  <c r="N158" i="10" s="1"/>
  <c r="N159" i="10" s="1"/>
  <c r="N160" i="10" s="1"/>
  <c r="N161" i="10" s="1"/>
  <c r="N162" i="10" s="1"/>
  <c r="N163" i="10" s="1"/>
  <c r="N164" i="10" s="1"/>
  <c r="N165" i="10" s="1"/>
  <c r="N166" i="10" s="1"/>
  <c r="N167" i="10" s="1"/>
  <c r="N168" i="10" s="1"/>
  <c r="N169" i="10" s="1"/>
  <c r="N170" i="10" s="1"/>
  <c r="N171" i="10" s="1"/>
  <c r="N172" i="10" s="1"/>
  <c r="N173" i="10" s="1"/>
  <c r="N174" i="10" s="1"/>
  <c r="N175" i="10" s="1"/>
  <c r="N176" i="10" s="1"/>
  <c r="N177" i="10" s="1"/>
  <c r="N178" i="10" s="1"/>
  <c r="N179" i="10" s="1"/>
  <c r="N180" i="10" s="1"/>
  <c r="N181" i="10" s="1"/>
  <c r="N182" i="10" s="1"/>
  <c r="N183" i="10" s="1"/>
  <c r="N184" i="10" s="1"/>
  <c r="N185" i="10" s="1"/>
  <c r="N186" i="10" s="1"/>
  <c r="N187" i="10" s="1"/>
  <c r="N188" i="10" s="1"/>
  <c r="N189" i="10" s="1"/>
  <c r="N190" i="10" s="1"/>
  <c r="N191" i="10" s="1"/>
  <c r="N192" i="10" s="1"/>
  <c r="N193" i="10" s="1"/>
  <c r="N194" i="10" s="1"/>
  <c r="N195" i="10" s="1"/>
  <c r="N196" i="10" s="1"/>
  <c r="N197" i="10" s="1"/>
  <c r="N198" i="10" s="1"/>
  <c r="N199" i="10" s="1"/>
  <c r="N200" i="10" s="1"/>
  <c r="N201" i="10" s="1"/>
  <c r="N202" i="10" s="1"/>
  <c r="N203" i="10" s="1"/>
  <c r="N204" i="10" s="1"/>
  <c r="N205" i="10" s="1"/>
  <c r="N206" i="10" s="1"/>
  <c r="N207" i="10" s="1"/>
  <c r="N208" i="10" s="1"/>
  <c r="N209" i="10" s="1"/>
  <c r="N210" i="10" s="1"/>
  <c r="N211" i="10" s="1"/>
  <c r="N212" i="10" s="1"/>
  <c r="N213" i="10" s="1"/>
  <c r="N214" i="10" s="1"/>
  <c r="N215" i="10" s="1"/>
  <c r="N216" i="10" s="1"/>
  <c r="N217" i="10" s="1"/>
  <c r="N218" i="10" s="1"/>
  <c r="N219" i="10" s="1"/>
  <c r="N220" i="10" s="1"/>
  <c r="N221" i="10" s="1"/>
  <c r="N222" i="10" s="1"/>
  <c r="N223" i="10" s="1"/>
  <c r="N224" i="10" s="1"/>
  <c r="N225" i="10" s="1"/>
  <c r="N226" i="10" s="1"/>
  <c r="N227" i="10" s="1"/>
  <c r="N228" i="10" s="1"/>
  <c r="N229" i="10" s="1"/>
  <c r="N230" i="10" s="1"/>
  <c r="N231" i="10" s="1"/>
  <c r="N232" i="10" s="1"/>
  <c r="N233" i="10" s="1"/>
  <c r="N234" i="10" s="1"/>
  <c r="N235" i="10" s="1"/>
  <c r="N236" i="10" s="1"/>
  <c r="N237" i="10" s="1"/>
  <c r="N238" i="10" s="1"/>
  <c r="N239" i="10" s="1"/>
  <c r="N240" i="10" s="1"/>
  <c r="N241" i="10" s="1"/>
  <c r="N242" i="10" s="1"/>
  <c r="N243" i="10" s="1"/>
  <c r="N244" i="10" s="1"/>
  <c r="N245" i="10" s="1"/>
  <c r="N246" i="10" s="1"/>
  <c r="N247" i="10" s="1"/>
  <c r="N248" i="10" s="1"/>
  <c r="N249" i="10" s="1"/>
  <c r="N250" i="10" s="1"/>
  <c r="N251" i="10" s="1"/>
  <c r="N252" i="10" s="1"/>
  <c r="N253" i="10" s="1"/>
  <c r="N254" i="10" s="1"/>
  <c r="N255" i="10" s="1"/>
  <c r="N256" i="10" s="1"/>
  <c r="N257" i="10" s="1"/>
  <c r="N258" i="10" s="1"/>
  <c r="N259" i="10" s="1"/>
  <c r="N260" i="10" s="1"/>
  <c r="N261" i="10" s="1"/>
  <c r="N262" i="10" s="1"/>
  <c r="N263" i="10" s="1"/>
  <c r="N264" i="10" s="1"/>
  <c r="N265" i="10" s="1"/>
  <c r="N266" i="10" s="1"/>
  <c r="N267" i="10" s="1"/>
  <c r="N268" i="10" s="1"/>
  <c r="N269" i="10" s="1"/>
  <c r="N270" i="10" s="1"/>
  <c r="N271" i="10" s="1"/>
  <c r="N272" i="10" s="1"/>
  <c r="N273" i="10" s="1"/>
  <c r="N274" i="10" s="1"/>
  <c r="N275" i="10" s="1"/>
  <c r="N276" i="10" s="1"/>
  <c r="N277" i="10" s="1"/>
  <c r="N278" i="10" s="1"/>
  <c r="N279" i="10" s="1"/>
  <c r="N280" i="10" s="1"/>
  <c r="N281" i="10" s="1"/>
  <c r="N282" i="10" s="1"/>
  <c r="N283" i="10" s="1"/>
  <c r="N284" i="10" s="1"/>
  <c r="N285" i="10" s="1"/>
  <c r="N286" i="10" s="1"/>
  <c r="N287" i="10" s="1"/>
  <c r="N288" i="10" s="1"/>
  <c r="N289" i="10" s="1"/>
  <c r="N290" i="10" s="1"/>
  <c r="N291" i="10" s="1"/>
  <c r="N292" i="10" s="1"/>
  <c r="N293" i="10" s="1"/>
  <c r="N294" i="10" s="1"/>
  <c r="N295" i="10" s="1"/>
  <c r="N296" i="10" s="1"/>
  <c r="N297" i="10" s="1"/>
  <c r="N298" i="10" s="1"/>
  <c r="N299" i="10" s="1"/>
  <c r="N300" i="10" s="1"/>
  <c r="N301" i="10" s="1"/>
  <c r="N302" i="10" s="1"/>
  <c r="N303" i="10" s="1"/>
  <c r="N304" i="10" s="1"/>
  <c r="N305" i="10" s="1"/>
  <c r="N306" i="10" s="1"/>
  <c r="N307" i="10" s="1"/>
  <c r="N308" i="10" s="1"/>
  <c r="N309" i="10" s="1"/>
  <c r="N310" i="10" s="1"/>
  <c r="N311" i="10" s="1"/>
  <c r="N312" i="10" s="1"/>
  <c r="N313" i="10" s="1"/>
  <c r="N314" i="10" s="1"/>
  <c r="N315" i="10" s="1"/>
  <c r="N316" i="10" s="1"/>
  <c r="N317" i="10" s="1"/>
  <c r="N318" i="10" s="1"/>
  <c r="N319" i="10" s="1"/>
  <c r="N320" i="10" s="1"/>
  <c r="N321" i="10" s="1"/>
  <c r="G85" i="10"/>
  <c r="J85" i="10" s="1"/>
  <c r="P85" i="10" s="1"/>
  <c r="F88" i="10"/>
  <c r="I83" i="9"/>
  <c r="I84" i="9" s="1"/>
  <c r="E675" i="11"/>
  <c r="E84" i="9"/>
  <c r="H84" i="9" s="1"/>
  <c r="K82" i="9"/>
  <c r="P82" i="9" s="1"/>
  <c r="N83" i="9"/>
  <c r="G83" i="9"/>
  <c r="F83" i="9"/>
  <c r="K81" i="9"/>
  <c r="P81" i="9" s="1"/>
  <c r="AO659" i="11"/>
  <c r="H27" i="9"/>
  <c r="E571" i="11"/>
  <c r="D574" i="11"/>
  <c r="G86" i="10" l="1"/>
  <c r="G87" i="10" s="1"/>
  <c r="F89" i="10"/>
  <c r="K83" i="9"/>
  <c r="P83" i="9" s="1"/>
  <c r="N84" i="9"/>
  <c r="G84" i="9"/>
  <c r="F84" i="9"/>
  <c r="E676" i="11"/>
  <c r="E85" i="9"/>
  <c r="I85" i="9" s="1"/>
  <c r="H31" i="9"/>
  <c r="H19" i="9" s="1"/>
  <c r="H16" i="9"/>
  <c r="AM654" i="11" s="1"/>
  <c r="AO658" i="11"/>
  <c r="AL658" i="11"/>
  <c r="AM658" i="11"/>
  <c r="AN658" i="11"/>
  <c r="E572" i="11"/>
  <c r="D575" i="11"/>
  <c r="J86" i="10" l="1"/>
  <c r="P86" i="10" s="1"/>
  <c r="G88" i="10"/>
  <c r="J87" i="10"/>
  <c r="P87" i="10" s="1"/>
  <c r="F90" i="10"/>
  <c r="F85" i="9"/>
  <c r="N85" i="9"/>
  <c r="G85" i="9"/>
  <c r="H85" i="9"/>
  <c r="K84" i="9"/>
  <c r="P84" i="9" s="1"/>
  <c r="E677" i="11"/>
  <c r="E86" i="9"/>
  <c r="AN636" i="11"/>
  <c r="K21" i="2" s="1"/>
  <c r="AP650" i="11"/>
  <c r="AP662" i="11" s="1"/>
  <c r="E573" i="11"/>
  <c r="D576" i="11"/>
  <c r="G89" i="10" l="1"/>
  <c r="J88" i="10"/>
  <c r="P88" i="10" s="1"/>
  <c r="F91" i="10"/>
  <c r="E678" i="11"/>
  <c r="E87" i="9"/>
  <c r="K85" i="9"/>
  <c r="P85" i="9" s="1"/>
  <c r="AP665" i="11"/>
  <c r="G41" i="9" s="1"/>
  <c r="AP663" i="11"/>
  <c r="G37" i="9" s="1"/>
  <c r="AP664" i="11"/>
  <c r="G39" i="9" s="1"/>
  <c r="H86" i="9"/>
  <c r="F86" i="9"/>
  <c r="G86" i="9"/>
  <c r="N86" i="9"/>
  <c r="I86" i="9"/>
  <c r="I87" i="9" s="1"/>
  <c r="E574" i="11"/>
  <c r="D577" i="11"/>
  <c r="AF320" i="11"/>
  <c r="AF359" i="11"/>
  <c r="AF323" i="11"/>
  <c r="AE256" i="11"/>
  <c r="AF387" i="11"/>
  <c r="AE361" i="11"/>
  <c r="AF389" i="11"/>
  <c r="AF368" i="11"/>
  <c r="AE376" i="11"/>
  <c r="AF294" i="11"/>
  <c r="AE432" i="11"/>
  <c r="AF339" i="11"/>
  <c r="AF453" i="11"/>
  <c r="AE378" i="11"/>
  <c r="AF363" i="11"/>
  <c r="AF329" i="11"/>
  <c r="AF426" i="11"/>
  <c r="AF271" i="11"/>
  <c r="AF315" i="11"/>
  <c r="AF351" i="11"/>
  <c r="AF234" i="11"/>
  <c r="AF245" i="11"/>
  <c r="AE284" i="11"/>
  <c r="AE365" i="11"/>
  <c r="AF441" i="11"/>
  <c r="AF360" i="11"/>
  <c r="AF337" i="11"/>
  <c r="AE375" i="11"/>
  <c r="AE377" i="11"/>
  <c r="AF406" i="11"/>
  <c r="AE301" i="11"/>
  <c r="AE279" i="11"/>
  <c r="AF349" i="11"/>
  <c r="AE226" i="11"/>
  <c r="AF228" i="11"/>
  <c r="AF282" i="11"/>
  <c r="AF248" i="11"/>
  <c r="AF238" i="11"/>
  <c r="AF419" i="11"/>
  <c r="AE264" i="11"/>
  <c r="AF372" i="11"/>
  <c r="AE382" i="11"/>
  <c r="AF435" i="11"/>
  <c r="AF379" i="11"/>
  <c r="AF259" i="11"/>
  <c r="AE342" i="11"/>
  <c r="AE241" i="11"/>
  <c r="AF223" i="11"/>
  <c r="AF353" i="11"/>
  <c r="AE336" i="11"/>
  <c r="AE404" i="11"/>
  <c r="AF300" i="11"/>
  <c r="AF458" i="11"/>
  <c r="AE345" i="11"/>
  <c r="AE276" i="11"/>
  <c r="AF240" i="11"/>
  <c r="AE401" i="11"/>
  <c r="AE242" i="11"/>
  <c r="AF273" i="11"/>
  <c r="AF409" i="11"/>
  <c r="AF295" i="11"/>
  <c r="AF388" i="11"/>
  <c r="AF455" i="11"/>
  <c r="AE405" i="11"/>
  <c r="AE269" i="11"/>
  <c r="AF278" i="11"/>
  <c r="AF411" i="11"/>
  <c r="AF392" i="11"/>
  <c r="AE275" i="11"/>
  <c r="AF277" i="11"/>
  <c r="AF373" i="11"/>
  <c r="AF437" i="11"/>
  <c r="AF258" i="11"/>
  <c r="AF303" i="11"/>
  <c r="AF401" i="11"/>
  <c r="AE383" i="11"/>
  <c r="AE314" i="11"/>
  <c r="AF422" i="11"/>
  <c r="AE320" i="11"/>
  <c r="AE337" i="11"/>
  <c r="AE339" i="11"/>
  <c r="AF451" i="11"/>
  <c r="AF405" i="11"/>
  <c r="AE306" i="11"/>
  <c r="AF400" i="11"/>
  <c r="AE274" i="11"/>
  <c r="AF466" i="11"/>
  <c r="AE465" i="11"/>
  <c r="AF430" i="11"/>
  <c r="AF328" i="11"/>
  <c r="AF244" i="11"/>
  <c r="AF285" i="11"/>
  <c r="AE354" i="11"/>
  <c r="AE294" i="11"/>
  <c r="AF229" i="11"/>
  <c r="AE426" i="11"/>
  <c r="AF461" i="11"/>
  <c r="AE390" i="11"/>
  <c r="AF316" i="11"/>
  <c r="AF352" i="11"/>
  <c r="AF434" i="11"/>
  <c r="AE223" i="11"/>
  <c r="AF262" i="11"/>
  <c r="AF232" i="11"/>
  <c r="AF226" i="11"/>
  <c r="AE368" i="11"/>
  <c r="AF327" i="11"/>
  <c r="AF225" i="11"/>
  <c r="AF408" i="11"/>
  <c r="AF374" i="11"/>
  <c r="AE357" i="11"/>
  <c r="AE288" i="11"/>
  <c r="AF241" i="11"/>
  <c r="AF447" i="11"/>
  <c r="AE461" i="11"/>
  <c r="AE237" i="11"/>
  <c r="AF318" i="11"/>
  <c r="AE459" i="11"/>
  <c r="AE225" i="11"/>
  <c r="AE331" i="11"/>
  <c r="AF275" i="11"/>
  <c r="AF276" i="11"/>
  <c r="AE312" i="11"/>
  <c r="AF284" i="11"/>
  <c r="AE257" i="11"/>
  <c r="AE402" i="11"/>
  <c r="AF361" i="11"/>
  <c r="AE442" i="11"/>
  <c r="AF325" i="11"/>
  <c r="AE318" i="11"/>
  <c r="AF272" i="11"/>
  <c r="AF462" i="11"/>
  <c r="AF343" i="11"/>
  <c r="AE397" i="11"/>
  <c r="AE450" i="11"/>
  <c r="AE464" i="11"/>
  <c r="AF417" i="11"/>
  <c r="AE329" i="11"/>
  <c r="AE303" i="11"/>
  <c r="AF429" i="11"/>
  <c r="AF312" i="11"/>
  <c r="AE392" i="11"/>
  <c r="AE273" i="11"/>
  <c r="AF338" i="11"/>
  <c r="AF265" i="11"/>
  <c r="AE379" i="11"/>
  <c r="AF464" i="11"/>
  <c r="AF306" i="11"/>
  <c r="AF281" i="11"/>
  <c r="AF438" i="11"/>
  <c r="AE349" i="11"/>
  <c r="AF224" i="11"/>
  <c r="AF418" i="11"/>
  <c r="AE419" i="11"/>
  <c r="AF456" i="11"/>
  <c r="AE283" i="11"/>
  <c r="AF270" i="11"/>
  <c r="AE296" i="11"/>
  <c r="AF407" i="11"/>
  <c r="AF397" i="11"/>
  <c r="AE323" i="11"/>
  <c r="AF310" i="11"/>
  <c r="AF297" i="11"/>
  <c r="AE436" i="11"/>
  <c r="AF283" i="11"/>
  <c r="AE438" i="11"/>
  <c r="AF436" i="11"/>
  <c r="AE381" i="11"/>
  <c r="AE258" i="11"/>
  <c r="AF356" i="11"/>
  <c r="AF293" i="11"/>
  <c r="AF341" i="11"/>
  <c r="AF357" i="11"/>
  <c r="AE244" i="11"/>
  <c r="AE388" i="11"/>
  <c r="AE231" i="11"/>
  <c r="AF457" i="11"/>
  <c r="AF345" i="11"/>
  <c r="AE304" i="11"/>
  <c r="AE456" i="11"/>
  <c r="AE394" i="11"/>
  <c r="AE327" i="11"/>
  <c r="AE307" i="11"/>
  <c r="AF398" i="11"/>
  <c r="AE460" i="11"/>
  <c r="AE281" i="11"/>
  <c r="AE267" i="11"/>
  <c r="AE321" i="11"/>
  <c r="AF362" i="11"/>
  <c r="AE417" i="11"/>
  <c r="AF334" i="11"/>
  <c r="AF239" i="11"/>
  <c r="AF304" i="11"/>
  <c r="AE302" i="11"/>
  <c r="AE348" i="11"/>
  <c r="AE310" i="11"/>
  <c r="AE335" i="11"/>
  <c r="AE253" i="11"/>
  <c r="AF463" i="11"/>
  <c r="AE406" i="11"/>
  <c r="AE326" i="11"/>
  <c r="AF298" i="11"/>
  <c r="AE363" i="11"/>
  <c r="AE328" i="11"/>
  <c r="AE364" i="11"/>
  <c r="AE308" i="11"/>
  <c r="AF416" i="11"/>
  <c r="AE268" i="11"/>
  <c r="AF326" i="11"/>
  <c r="AF261" i="11"/>
  <c r="AF414" i="11"/>
  <c r="AE427" i="11"/>
  <c r="AE344" i="11"/>
  <c r="AE325" i="11"/>
  <c r="AE300" i="11"/>
  <c r="AE467" i="11"/>
  <c r="AF247" i="11"/>
  <c r="AE396" i="11"/>
  <c r="AF445" i="11"/>
  <c r="AE319" i="11"/>
  <c r="AE430" i="11"/>
  <c r="AF299" i="11"/>
  <c r="AF381" i="11"/>
  <c r="AF254" i="11"/>
  <c r="AF301" i="11"/>
  <c r="AF250" i="11"/>
  <c r="AE446" i="11"/>
  <c r="AE408" i="11"/>
  <c r="AE439" i="11"/>
  <c r="AF280" i="11"/>
  <c r="AE280" i="11"/>
  <c r="AF333" i="11"/>
  <c r="AE413" i="11"/>
  <c r="AE428" i="11"/>
  <c r="AE290" i="11"/>
  <c r="AF242" i="11"/>
  <c r="AE371" i="11"/>
  <c r="AF332" i="11"/>
  <c r="AE259" i="11"/>
  <c r="AF255" i="11"/>
  <c r="AF385" i="11"/>
  <c r="AF465" i="11"/>
  <c r="AE448" i="11"/>
  <c r="AE424" i="11"/>
  <c r="AF308" i="11"/>
  <c r="AE309" i="11"/>
  <c r="AF256" i="11"/>
  <c r="AE248" i="11"/>
  <c r="AE343" i="11"/>
  <c r="AF269" i="11"/>
  <c r="AF307" i="11"/>
  <c r="AE270" i="11"/>
  <c r="AE247" i="11"/>
  <c r="AE287" i="11"/>
  <c r="AE458" i="11"/>
  <c r="AF383" i="11"/>
  <c r="AF432" i="11"/>
  <c r="AE437" i="11"/>
  <c r="AE315" i="11"/>
  <c r="AE355" i="11"/>
  <c r="AE224" i="11"/>
  <c r="AF425" i="11"/>
  <c r="AE422" i="11"/>
  <c r="AE370" i="11"/>
  <c r="AF420" i="11"/>
  <c r="AE246" i="11"/>
  <c r="AE230" i="11"/>
  <c r="AE285" i="11"/>
  <c r="AE423" i="11"/>
  <c r="AF350" i="11"/>
  <c r="AE260" i="11"/>
  <c r="AF344" i="11"/>
  <c r="AE360" i="11"/>
  <c r="AE265" i="11"/>
  <c r="AF424" i="11"/>
  <c r="AF440" i="11"/>
  <c r="AE431" i="11"/>
  <c r="AE400" i="11"/>
  <c r="AE385" i="11"/>
  <c r="AF358" i="11"/>
  <c r="AE462" i="11"/>
  <c r="AF230" i="11"/>
  <c r="AE239" i="11"/>
  <c r="AE454" i="11"/>
  <c r="AE298" i="11"/>
  <c r="AF246" i="11"/>
  <c r="AF382" i="11"/>
  <c r="AF268" i="11"/>
  <c r="AF393" i="11"/>
  <c r="AE235" i="11"/>
  <c r="AE292" i="11"/>
  <c r="AE305" i="11"/>
  <c r="AF467" i="11"/>
  <c r="AF286" i="11"/>
  <c r="AE440" i="11"/>
  <c r="AE366" i="11"/>
  <c r="AF355" i="11"/>
  <c r="AE341" i="11"/>
  <c r="AE347" i="11"/>
  <c r="AE433" i="11"/>
  <c r="AF302" i="11"/>
  <c r="AE291" i="11"/>
  <c r="AF340" i="11"/>
  <c r="AF428" i="11"/>
  <c r="AF237" i="11"/>
  <c r="AF459" i="11"/>
  <c r="AE313" i="11"/>
  <c r="AE435" i="11"/>
  <c r="AF450" i="11"/>
  <c r="AE350" i="11"/>
  <c r="AE421" i="11"/>
  <c r="AE412" i="11"/>
  <c r="AE240" i="11"/>
  <c r="AF386" i="11"/>
  <c r="AE451" i="11"/>
  <c r="AE399" i="11"/>
  <c r="AE227" i="11"/>
  <c r="AE374" i="11"/>
  <c r="AE278" i="11"/>
  <c r="AE297" i="11"/>
  <c r="AF460" i="11"/>
  <c r="AE236" i="11"/>
  <c r="AE316" i="11"/>
  <c r="AE455" i="11"/>
  <c r="AF439" i="11"/>
  <c r="AE322" i="11"/>
  <c r="AE286" i="11"/>
  <c r="AE359" i="11"/>
  <c r="AF427" i="11"/>
  <c r="AF433" i="11"/>
  <c r="AE263" i="11"/>
  <c r="AE272" i="11"/>
  <c r="AE415" i="11"/>
  <c r="AF404" i="11"/>
  <c r="AF402" i="11"/>
  <c r="AE369" i="11"/>
  <c r="AF266" i="11"/>
  <c r="AF410" i="11"/>
  <c r="AF317" i="11"/>
  <c r="AF309" i="11"/>
  <c r="AF296" i="11"/>
  <c r="AE352" i="11"/>
  <c r="AE384" i="11"/>
  <c r="AF376" i="11"/>
  <c r="AF366" i="11"/>
  <c r="AE317" i="11"/>
  <c r="AE420" i="11"/>
  <c r="AF314" i="11"/>
  <c r="AE333" i="11"/>
  <c r="AF252" i="11"/>
  <c r="AE234" i="11"/>
  <c r="AF336" i="11"/>
  <c r="AF415" i="11"/>
  <c r="AE416" i="11"/>
  <c r="AF279" i="11"/>
  <c r="AE425" i="11"/>
  <c r="AF444" i="11"/>
  <c r="AE250" i="11"/>
  <c r="AF449" i="11"/>
  <c r="AF319" i="11"/>
  <c r="AF292" i="11"/>
  <c r="AF384" i="11"/>
  <c r="AF452" i="11"/>
  <c r="AF311" i="11"/>
  <c r="AE266" i="11"/>
  <c r="AF231" i="11"/>
  <c r="AF236" i="11"/>
  <c r="AE429" i="11"/>
  <c r="AE330" i="11"/>
  <c r="AE418" i="11"/>
  <c r="AF263" i="11"/>
  <c r="AF448" i="11"/>
  <c r="AF287" i="11"/>
  <c r="AE393" i="11"/>
  <c r="AF370" i="11"/>
  <c r="AE373" i="11"/>
  <c r="AE277" i="11"/>
  <c r="AF235" i="11"/>
  <c r="AF260" i="11"/>
  <c r="AF346" i="11"/>
  <c r="AE255" i="11"/>
  <c r="AE251" i="11"/>
  <c r="AE293" i="11"/>
  <c r="AF371" i="11"/>
  <c r="AE443" i="11"/>
  <c r="AE453" i="11"/>
  <c r="AF313" i="11"/>
  <c r="AE457" i="11"/>
  <c r="AE447" i="11"/>
  <c r="AE261" i="11"/>
  <c r="AE372" i="11"/>
  <c r="AF264" i="11"/>
  <c r="AE398" i="11"/>
  <c r="AF399" i="11"/>
  <c r="AE228" i="11"/>
  <c r="AE367" i="11"/>
  <c r="AF375" i="11"/>
  <c r="AF253" i="11"/>
  <c r="AE387" i="11"/>
  <c r="AF391" i="11"/>
  <c r="AF330" i="11"/>
  <c r="AF322" i="11"/>
  <c r="AE332" i="11"/>
  <c r="AE351" i="11"/>
  <c r="AE444" i="11"/>
  <c r="AE403" i="11"/>
  <c r="AE340" i="11"/>
  <c r="AF290" i="11"/>
  <c r="AF348" i="11"/>
  <c r="AE338" i="11"/>
  <c r="AF423" i="11"/>
  <c r="AE463" i="11"/>
  <c r="AE353" i="11"/>
  <c r="AF291" i="11"/>
  <c r="AF227" i="11"/>
  <c r="AE434" i="11"/>
  <c r="AE407" i="11"/>
  <c r="AF443" i="11"/>
  <c r="AE452" i="11"/>
  <c r="AE245" i="11"/>
  <c r="AE271" i="11"/>
  <c r="AF305" i="11"/>
  <c r="AF413" i="11"/>
  <c r="AE380" i="11"/>
  <c r="AF233" i="11"/>
  <c r="AF331" i="11"/>
  <c r="AF369" i="11"/>
  <c r="AF380" i="11"/>
  <c r="AE243" i="11"/>
  <c r="AE411" i="11"/>
  <c r="AE356" i="11"/>
  <c r="AF335" i="11"/>
  <c r="AF249" i="11"/>
  <c r="AF289" i="11"/>
  <c r="AE358" i="11"/>
  <c r="AF396" i="11"/>
  <c r="AF367" i="11"/>
  <c r="AE441" i="11"/>
  <c r="AE414" i="11"/>
  <c r="AE233" i="11"/>
  <c r="AE449" i="11"/>
  <c r="AE391" i="11"/>
  <c r="AF442" i="11"/>
  <c r="AF412" i="11"/>
  <c r="AE295" i="11"/>
  <c r="AE229" i="11"/>
  <c r="AF354" i="11"/>
  <c r="AE289" i="11"/>
  <c r="AF267" i="11"/>
  <c r="AF288" i="11"/>
  <c r="AF421" i="11"/>
  <c r="AE282" i="11"/>
  <c r="AE299" i="11"/>
  <c r="AE334" i="11"/>
  <c r="AF395" i="11"/>
  <c r="AE311" i="11"/>
  <c r="AF364" i="11"/>
  <c r="AE346" i="11"/>
  <c r="AE249" i="11"/>
  <c r="AF257" i="11"/>
  <c r="AF342" i="11"/>
  <c r="AE232" i="11"/>
  <c r="AE324" i="11"/>
  <c r="AF446" i="11"/>
  <c r="AF243" i="11"/>
  <c r="AE386" i="11"/>
  <c r="AE238" i="11"/>
  <c r="AE362" i="11"/>
  <c r="AE254" i="11"/>
  <c r="AE445" i="11"/>
  <c r="AF347" i="11"/>
  <c r="AF251" i="11"/>
  <c r="AF274" i="11"/>
  <c r="AF431" i="11"/>
  <c r="AE252" i="11"/>
  <c r="AF390" i="11"/>
  <c r="AE389" i="11"/>
  <c r="AF321" i="11"/>
  <c r="AF403" i="11"/>
  <c r="AF394" i="11"/>
  <c r="AF365" i="11"/>
  <c r="AF378" i="11"/>
  <c r="AE410" i="11"/>
  <c r="AF377" i="11"/>
  <c r="AE395" i="11"/>
  <c r="AE466" i="11"/>
  <c r="AE262" i="11"/>
  <c r="AE409" i="11"/>
  <c r="AF324" i="11"/>
  <c r="H87" i="9" l="1"/>
  <c r="G90" i="10"/>
  <c r="J89" i="10"/>
  <c r="P89" i="10" s="1"/>
  <c r="E499" i="11"/>
  <c r="E233" i="11"/>
  <c r="E495" i="11"/>
  <c r="E496" i="11"/>
  <c r="E229" i="11"/>
  <c r="E500" i="11"/>
  <c r="E491" i="11"/>
  <c r="E226" i="11"/>
  <c r="E237" i="11"/>
  <c r="E503" i="11"/>
  <c r="E490" i="11"/>
  <c r="E231" i="11"/>
  <c r="E235" i="11"/>
  <c r="E486" i="11"/>
  <c r="E494" i="11"/>
  <c r="E492" i="11"/>
  <c r="E225" i="11"/>
  <c r="E241" i="11"/>
  <c r="E228" i="11"/>
  <c r="E493" i="11"/>
  <c r="E484" i="11"/>
  <c r="E236" i="11"/>
  <c r="E238" i="11"/>
  <c r="E239" i="11"/>
  <c r="E223" i="11"/>
  <c r="K20" i="7" s="1"/>
  <c r="H29" i="10" s="1"/>
  <c r="H31" i="10" s="1"/>
  <c r="H19" i="10" s="1"/>
  <c r="E224" i="11"/>
  <c r="E242" i="11"/>
  <c r="E234" i="11"/>
  <c r="E244" i="11"/>
  <c r="E487" i="11"/>
  <c r="E488" i="11"/>
  <c r="E502" i="11"/>
  <c r="E243" i="11"/>
  <c r="E498" i="11"/>
  <c r="E489" i="11"/>
  <c r="E497" i="11"/>
  <c r="E501" i="11"/>
  <c r="E232" i="11"/>
  <c r="E227" i="11"/>
  <c r="E230" i="11"/>
  <c r="E485" i="11"/>
  <c r="E240" i="11"/>
  <c r="F92" i="10"/>
  <c r="N87" i="9"/>
  <c r="G87" i="9"/>
  <c r="F87" i="9"/>
  <c r="E679" i="11"/>
  <c r="E88" i="9"/>
  <c r="K86" i="9"/>
  <c r="P86" i="9" s="1"/>
  <c r="E575" i="11"/>
  <c r="D578" i="11"/>
  <c r="H17" i="10" l="1"/>
  <c r="E537" i="11" s="1"/>
  <c r="G91" i="10"/>
  <c r="J90" i="10"/>
  <c r="P90" i="10" s="1"/>
  <c r="F93" i="10"/>
  <c r="E680" i="11"/>
  <c r="E89" i="9"/>
  <c r="I89" i="9" s="1"/>
  <c r="I88" i="9"/>
  <c r="K87" i="9"/>
  <c r="P87" i="9" s="1"/>
  <c r="G88" i="9"/>
  <c r="N88" i="9"/>
  <c r="F88" i="9"/>
  <c r="H88" i="9"/>
  <c r="H89" i="9" s="1"/>
  <c r="E522" i="11"/>
  <c r="L21" i="2" s="1"/>
  <c r="G533" i="11"/>
  <c r="G545" i="11" s="1"/>
  <c r="E576" i="11"/>
  <c r="D579" i="11"/>
  <c r="G92" i="10" l="1"/>
  <c r="J91" i="10"/>
  <c r="P91" i="10" s="1"/>
  <c r="F94" i="10"/>
  <c r="K88" i="9"/>
  <c r="P88" i="9" s="1"/>
  <c r="N89" i="9"/>
  <c r="F89" i="9"/>
  <c r="G89" i="9"/>
  <c r="E681" i="11"/>
  <c r="E90" i="9"/>
  <c r="G548" i="11"/>
  <c r="G41" i="10" s="1"/>
  <c r="G546" i="11"/>
  <c r="G37" i="10" s="1"/>
  <c r="G547" i="11"/>
  <c r="G39" i="10" s="1"/>
  <c r="E577" i="11"/>
  <c r="D580" i="11"/>
  <c r="G93" i="10" l="1"/>
  <c r="J92" i="10"/>
  <c r="P92" i="10" s="1"/>
  <c r="F95" i="10"/>
  <c r="N90" i="9"/>
  <c r="F90" i="9"/>
  <c r="G90" i="9"/>
  <c r="H90" i="9"/>
  <c r="I90" i="9"/>
  <c r="K89" i="9"/>
  <c r="P89" i="9" s="1"/>
  <c r="E682" i="11"/>
  <c r="E91" i="9"/>
  <c r="E578" i="11"/>
  <c r="D581" i="11"/>
  <c r="G94" i="10" l="1"/>
  <c r="J93" i="10"/>
  <c r="P93" i="10" s="1"/>
  <c r="F96" i="10"/>
  <c r="H91" i="9"/>
  <c r="G91" i="9"/>
  <c r="N91" i="9"/>
  <c r="F91" i="9"/>
  <c r="E683" i="11"/>
  <c r="E92" i="9"/>
  <c r="I91" i="9"/>
  <c r="K90" i="9"/>
  <c r="P90" i="9" s="1"/>
  <c r="E579" i="11"/>
  <c r="D582" i="11"/>
  <c r="I92" i="9" l="1"/>
  <c r="G95" i="10"/>
  <c r="J94" i="10"/>
  <c r="P94" i="10" s="1"/>
  <c r="F97" i="10"/>
  <c r="N92" i="9"/>
  <c r="F92" i="9"/>
  <c r="G92" i="9"/>
  <c r="E684" i="11"/>
  <c r="E93" i="9"/>
  <c r="K91" i="9"/>
  <c r="P91" i="9" s="1"/>
  <c r="H92" i="9"/>
  <c r="E580" i="11"/>
  <c r="D583" i="11"/>
  <c r="G96" i="10" l="1"/>
  <c r="J95" i="10"/>
  <c r="P95" i="10" s="1"/>
  <c r="F98" i="10"/>
  <c r="E685" i="11"/>
  <c r="E94" i="9"/>
  <c r="H93" i="9"/>
  <c r="K92" i="9"/>
  <c r="P92" i="9" s="1"/>
  <c r="G93" i="9"/>
  <c r="F93" i="9"/>
  <c r="N93" i="9"/>
  <c r="I93" i="9"/>
  <c r="I94" i="9" s="1"/>
  <c r="E581" i="11"/>
  <c r="D584" i="11"/>
  <c r="G97" i="10" l="1"/>
  <c r="J96" i="10"/>
  <c r="P96" i="10" s="1"/>
  <c r="F99" i="10"/>
  <c r="K93" i="9"/>
  <c r="P93" i="9" s="1"/>
  <c r="F94" i="9"/>
  <c r="G94" i="9"/>
  <c r="N94" i="9"/>
  <c r="H94" i="9"/>
  <c r="E686" i="11"/>
  <c r="E95" i="9"/>
  <c r="E582" i="11"/>
  <c r="D585" i="11"/>
  <c r="G98" i="10" l="1"/>
  <c r="J97" i="10"/>
  <c r="P97" i="10" s="1"/>
  <c r="F100" i="10"/>
  <c r="N95" i="9"/>
  <c r="F95" i="9"/>
  <c r="G95" i="9"/>
  <c r="H95" i="9"/>
  <c r="I95" i="9"/>
  <c r="E687" i="11"/>
  <c r="E96" i="9"/>
  <c r="K94" i="9"/>
  <c r="P94" i="9" s="1"/>
  <c r="E583" i="11"/>
  <c r="D586" i="11"/>
  <c r="G99" i="10" l="1"/>
  <c r="J98" i="10"/>
  <c r="P98" i="10" s="1"/>
  <c r="F101" i="10"/>
  <c r="N96" i="9"/>
  <c r="F96" i="9"/>
  <c r="G96" i="9"/>
  <c r="I96" i="9"/>
  <c r="H96" i="9"/>
  <c r="E688" i="11"/>
  <c r="E97" i="9"/>
  <c r="K95" i="9"/>
  <c r="P95" i="9" s="1"/>
  <c r="E584" i="11"/>
  <c r="D587" i="11"/>
  <c r="G100" i="10" l="1"/>
  <c r="J99" i="10"/>
  <c r="P99" i="10" s="1"/>
  <c r="F102" i="10"/>
  <c r="I97" i="9"/>
  <c r="F97" i="9"/>
  <c r="N97" i="9"/>
  <c r="G97" i="9"/>
  <c r="H97" i="9"/>
  <c r="E689" i="11"/>
  <c r="E98" i="9"/>
  <c r="K96" i="9"/>
  <c r="P96" i="9" s="1"/>
  <c r="E585" i="11"/>
  <c r="D588" i="11"/>
  <c r="G101" i="10" l="1"/>
  <c r="J100" i="10"/>
  <c r="P100" i="10" s="1"/>
  <c r="F103" i="10"/>
  <c r="E690" i="11"/>
  <c r="E99" i="9"/>
  <c r="H98" i="9"/>
  <c r="K97" i="9"/>
  <c r="P97" i="9" s="1"/>
  <c r="I98" i="9"/>
  <c r="I99" i="9" s="1"/>
  <c r="N98" i="9"/>
  <c r="G98" i="9"/>
  <c r="F98" i="9"/>
  <c r="E586" i="11"/>
  <c r="E587" i="11" s="1"/>
  <c r="D589" i="11"/>
  <c r="E588" i="11" s="1"/>
  <c r="H99" i="9" l="1"/>
  <c r="G102" i="10"/>
  <c r="J101" i="10"/>
  <c r="P101" i="10" s="1"/>
  <c r="F104" i="10"/>
  <c r="K98" i="9"/>
  <c r="P98" i="9" s="1"/>
  <c r="G99" i="9"/>
  <c r="N99" i="9"/>
  <c r="F99" i="9"/>
  <c r="E691" i="11"/>
  <c r="E100" i="9"/>
  <c r="E589" i="11"/>
  <c r="D590" i="11"/>
  <c r="G103" i="10" l="1"/>
  <c r="J102" i="10"/>
  <c r="P102" i="10" s="1"/>
  <c r="F105" i="10"/>
  <c r="K99" i="9"/>
  <c r="P99" i="9" s="1"/>
  <c r="G100" i="9"/>
  <c r="F100" i="9"/>
  <c r="N100" i="9"/>
  <c r="H100" i="9"/>
  <c r="I100" i="9"/>
  <c r="E692" i="11"/>
  <c r="E101" i="9"/>
  <c r="E590" i="11"/>
  <c r="D591" i="11"/>
  <c r="G104" i="10" l="1"/>
  <c r="J103" i="10"/>
  <c r="P103" i="10" s="1"/>
  <c r="F106" i="10"/>
  <c r="E693" i="11"/>
  <c r="E102" i="9"/>
  <c r="I101" i="9"/>
  <c r="H101" i="9"/>
  <c r="H102" i="9" s="1"/>
  <c r="F101" i="9"/>
  <c r="N101" i="9"/>
  <c r="G101" i="9"/>
  <c r="K100" i="9"/>
  <c r="P100" i="9" s="1"/>
  <c r="E591" i="11"/>
  <c r="D592" i="11"/>
  <c r="I102" i="9" l="1"/>
  <c r="G105" i="10"/>
  <c r="J104" i="10"/>
  <c r="P104" i="10" s="1"/>
  <c r="F107" i="10"/>
  <c r="K101" i="9"/>
  <c r="P101" i="9" s="1"/>
  <c r="G102" i="9"/>
  <c r="N102" i="9"/>
  <c r="F102" i="9"/>
  <c r="E694" i="11"/>
  <c r="E103" i="9"/>
  <c r="E592" i="11"/>
  <c r="D593" i="11"/>
  <c r="G106" i="10" l="1"/>
  <c r="J105" i="10"/>
  <c r="P105" i="10" s="1"/>
  <c r="F108" i="10"/>
  <c r="K102" i="9"/>
  <c r="P102" i="9" s="1"/>
  <c r="F103" i="9"/>
  <c r="G103" i="9"/>
  <c r="N103" i="9"/>
  <c r="H103" i="9"/>
  <c r="I103" i="9"/>
  <c r="E695" i="11"/>
  <c r="E104" i="9"/>
  <c r="E593" i="11"/>
  <c r="D594" i="11"/>
  <c r="G107" i="10" l="1"/>
  <c r="J106" i="10"/>
  <c r="P106" i="10" s="1"/>
  <c r="F109" i="10"/>
  <c r="G104" i="9"/>
  <c r="F104" i="9"/>
  <c r="N104" i="9"/>
  <c r="I104" i="9"/>
  <c r="H104" i="9"/>
  <c r="H105" i="9" s="1"/>
  <c r="E696" i="11"/>
  <c r="E105" i="9"/>
  <c r="K103" i="9"/>
  <c r="P103" i="9" s="1"/>
  <c r="E594" i="11"/>
  <c r="D595" i="11"/>
  <c r="I105" i="9" l="1"/>
  <c r="G108" i="10"/>
  <c r="J107" i="10"/>
  <c r="P107" i="10" s="1"/>
  <c r="F110" i="10"/>
  <c r="N105" i="9"/>
  <c r="G105" i="9"/>
  <c r="F105" i="9"/>
  <c r="E697" i="11"/>
  <c r="E106" i="9"/>
  <c r="H106" i="9"/>
  <c r="K104" i="9"/>
  <c r="P104" i="9" s="1"/>
  <c r="E595" i="11"/>
  <c r="D596" i="11"/>
  <c r="G109" i="10" l="1"/>
  <c r="J108" i="10"/>
  <c r="P108" i="10" s="1"/>
  <c r="F111" i="10"/>
  <c r="E698" i="11"/>
  <c r="E107" i="9"/>
  <c r="K105" i="9"/>
  <c r="P105" i="9" s="1"/>
  <c r="H107" i="9"/>
  <c r="F106" i="9"/>
  <c r="G106" i="9"/>
  <c r="N106" i="9"/>
  <c r="I106" i="9"/>
  <c r="I107" i="9" s="1"/>
  <c r="E596" i="11"/>
  <c r="D597" i="11"/>
  <c r="G110" i="10" l="1"/>
  <c r="J109" i="10"/>
  <c r="P109" i="10" s="1"/>
  <c r="F112" i="10"/>
  <c r="K106" i="9"/>
  <c r="P106" i="9" s="1"/>
  <c r="N107" i="9"/>
  <c r="F107" i="9"/>
  <c r="G107" i="9"/>
  <c r="E699" i="11"/>
  <c r="E108" i="9"/>
  <c r="I108" i="9" s="1"/>
  <c r="E597" i="11"/>
  <c r="D598" i="11"/>
  <c r="G111" i="10" l="1"/>
  <c r="J110" i="10"/>
  <c r="P110" i="10" s="1"/>
  <c r="F113" i="10"/>
  <c r="K107" i="9"/>
  <c r="P107" i="9" s="1"/>
  <c r="G108" i="9"/>
  <c r="F108" i="9"/>
  <c r="N108" i="9"/>
  <c r="H108" i="9"/>
  <c r="E700" i="11"/>
  <c r="E109" i="9"/>
  <c r="E598" i="11"/>
  <c r="D599" i="11"/>
  <c r="G112" i="10" l="1"/>
  <c r="J111" i="10"/>
  <c r="P111" i="10" s="1"/>
  <c r="F114" i="10"/>
  <c r="F109" i="9"/>
  <c r="N109" i="9"/>
  <c r="G109" i="9"/>
  <c r="I109" i="9"/>
  <c r="E701" i="11"/>
  <c r="E110" i="9"/>
  <c r="H109" i="9"/>
  <c r="K108" i="9"/>
  <c r="P108" i="9" s="1"/>
  <c r="E599" i="11"/>
  <c r="D600" i="11"/>
  <c r="G113" i="10" l="1"/>
  <c r="J112" i="10"/>
  <c r="P112" i="10" s="1"/>
  <c r="F115" i="10"/>
  <c r="F110" i="9"/>
  <c r="G110" i="9"/>
  <c r="N110" i="9"/>
  <c r="H110" i="9"/>
  <c r="H111" i="9" s="1"/>
  <c r="I110" i="9"/>
  <c r="E702" i="11"/>
  <c r="E111" i="9"/>
  <c r="K109" i="9"/>
  <c r="P109" i="9" s="1"/>
  <c r="E600" i="11"/>
  <c r="D601" i="11"/>
  <c r="I111" i="9" l="1"/>
  <c r="I112" i="9" s="1"/>
  <c r="G114" i="10"/>
  <c r="J113" i="10"/>
  <c r="P113" i="10" s="1"/>
  <c r="F116" i="10"/>
  <c r="E703" i="11"/>
  <c r="E112" i="9"/>
  <c r="G111" i="9"/>
  <c r="F111" i="9"/>
  <c r="N111" i="9"/>
  <c r="H112" i="9"/>
  <c r="K110" i="9"/>
  <c r="P110" i="9" s="1"/>
  <c r="E601" i="11"/>
  <c r="D602" i="11"/>
  <c r="G115" i="10" l="1"/>
  <c r="J114" i="10"/>
  <c r="P114" i="10" s="1"/>
  <c r="F117" i="10"/>
  <c r="K111" i="9"/>
  <c r="P111" i="9" s="1"/>
  <c r="F112" i="9"/>
  <c r="G112" i="9"/>
  <c r="N112" i="9"/>
  <c r="E704" i="11"/>
  <c r="E113" i="9"/>
  <c r="E602" i="11"/>
  <c r="D603" i="11"/>
  <c r="G116" i="10" l="1"/>
  <c r="J115" i="10"/>
  <c r="P115" i="10" s="1"/>
  <c r="F118" i="10"/>
  <c r="F113" i="9"/>
  <c r="N113" i="9"/>
  <c r="G113" i="9"/>
  <c r="H113" i="9"/>
  <c r="H114" i="9" s="1"/>
  <c r="K112" i="9"/>
  <c r="P112" i="9" s="1"/>
  <c r="E705" i="11"/>
  <c r="E114" i="9"/>
  <c r="I113" i="9"/>
  <c r="E603" i="11"/>
  <c r="D604" i="11"/>
  <c r="G117" i="10" l="1"/>
  <c r="J116" i="10"/>
  <c r="P116" i="10" s="1"/>
  <c r="F119" i="10"/>
  <c r="E706" i="11"/>
  <c r="E115" i="9"/>
  <c r="I114" i="9"/>
  <c r="F114" i="9"/>
  <c r="N114" i="9"/>
  <c r="G114" i="9"/>
  <c r="K113" i="9"/>
  <c r="P113" i="9" s="1"/>
  <c r="E604" i="11"/>
  <c r="D605" i="11"/>
  <c r="I115" i="9" l="1"/>
  <c r="G118" i="10"/>
  <c r="J117" i="10"/>
  <c r="P117" i="10" s="1"/>
  <c r="F120" i="10"/>
  <c r="K114" i="9"/>
  <c r="P114" i="9" s="1"/>
  <c r="F115" i="9"/>
  <c r="N115" i="9"/>
  <c r="G115" i="9"/>
  <c r="H115" i="9"/>
  <c r="E707" i="11"/>
  <c r="E116" i="9"/>
  <c r="E605" i="11"/>
  <c r="D606" i="11"/>
  <c r="G119" i="10" l="1"/>
  <c r="J118" i="10"/>
  <c r="P118" i="10" s="1"/>
  <c r="F121" i="10"/>
  <c r="F116" i="9"/>
  <c r="N116" i="9"/>
  <c r="G116" i="9"/>
  <c r="E708" i="11"/>
  <c r="E117" i="9"/>
  <c r="I116" i="9"/>
  <c r="K115" i="9"/>
  <c r="P115" i="9" s="1"/>
  <c r="H116" i="9"/>
  <c r="H117" i="9" s="1"/>
  <c r="E606" i="11"/>
  <c r="D607" i="11"/>
  <c r="G120" i="10" l="1"/>
  <c r="J119" i="10"/>
  <c r="P119" i="10" s="1"/>
  <c r="F122" i="10"/>
  <c r="I117" i="9"/>
  <c r="F117" i="9"/>
  <c r="N117" i="9"/>
  <c r="G117" i="9"/>
  <c r="K116" i="9"/>
  <c r="P116" i="9" s="1"/>
  <c r="E709" i="11"/>
  <c r="E118" i="9"/>
  <c r="H118" i="9" s="1"/>
  <c r="E607" i="11"/>
  <c r="D608" i="11"/>
  <c r="G121" i="10" l="1"/>
  <c r="J120" i="10"/>
  <c r="P120" i="10" s="1"/>
  <c r="F123" i="10"/>
  <c r="F118" i="9"/>
  <c r="N118" i="9"/>
  <c r="G118" i="9"/>
  <c r="K117" i="9"/>
  <c r="P117" i="9" s="1"/>
  <c r="E710" i="11"/>
  <c r="E119" i="9"/>
  <c r="I118" i="9"/>
  <c r="E608" i="11"/>
  <c r="D609" i="11"/>
  <c r="G122" i="10" l="1"/>
  <c r="J121" i="10"/>
  <c r="P121" i="10" s="1"/>
  <c r="F124" i="10"/>
  <c r="F119" i="9"/>
  <c r="G119" i="9"/>
  <c r="N119" i="9"/>
  <c r="I119" i="9"/>
  <c r="E711" i="11"/>
  <c r="E120" i="9"/>
  <c r="H119" i="9"/>
  <c r="K118" i="9"/>
  <c r="P118" i="9" s="1"/>
  <c r="E609" i="11"/>
  <c r="D610" i="11"/>
  <c r="G123" i="10" l="1"/>
  <c r="J122" i="10"/>
  <c r="P122" i="10" s="1"/>
  <c r="F125" i="10"/>
  <c r="E712" i="11"/>
  <c r="E121" i="9"/>
  <c r="I120" i="9"/>
  <c r="I121" i="9" s="1"/>
  <c r="H120" i="9"/>
  <c r="H121" i="9" s="1"/>
  <c r="K119" i="9"/>
  <c r="P119" i="9" s="1"/>
  <c r="F120" i="9"/>
  <c r="N120" i="9"/>
  <c r="G120" i="9"/>
  <c r="E610" i="11"/>
  <c r="D611" i="11"/>
  <c r="G124" i="10" l="1"/>
  <c r="J123" i="10"/>
  <c r="P123" i="10" s="1"/>
  <c r="F126" i="10"/>
  <c r="K120" i="9"/>
  <c r="P120" i="9" s="1"/>
  <c r="F121" i="9"/>
  <c r="N121" i="9"/>
  <c r="G121" i="9"/>
  <c r="E713" i="11"/>
  <c r="E122" i="9"/>
  <c r="E611" i="11"/>
  <c r="D612" i="11"/>
  <c r="G125" i="10" l="1"/>
  <c r="J124" i="10"/>
  <c r="P124" i="10" s="1"/>
  <c r="F127" i="10"/>
  <c r="F122" i="9"/>
  <c r="N122" i="9"/>
  <c r="G122" i="9"/>
  <c r="H122" i="9"/>
  <c r="E714" i="11"/>
  <c r="E123" i="9"/>
  <c r="I122" i="9"/>
  <c r="K121" i="9"/>
  <c r="P121" i="9" s="1"/>
  <c r="E612" i="11"/>
  <c r="D613" i="11"/>
  <c r="H123" i="9" l="1"/>
  <c r="G126" i="10"/>
  <c r="J125" i="10"/>
  <c r="P125" i="10" s="1"/>
  <c r="F128" i="10"/>
  <c r="K122" i="9"/>
  <c r="P122" i="9" s="1"/>
  <c r="F123" i="9"/>
  <c r="N123" i="9"/>
  <c r="G123" i="9"/>
  <c r="I123" i="9"/>
  <c r="E715" i="11"/>
  <c r="E124" i="9"/>
  <c r="E613" i="11"/>
  <c r="D614" i="11"/>
  <c r="I124" i="9" l="1"/>
  <c r="N124" i="9"/>
  <c r="G127" i="10"/>
  <c r="J126" i="10"/>
  <c r="P126" i="10" s="1"/>
  <c r="F129" i="10"/>
  <c r="K123" i="9"/>
  <c r="P123" i="9" s="1"/>
  <c r="F124" i="9"/>
  <c r="G124" i="9"/>
  <c r="E716" i="11"/>
  <c r="E125" i="9"/>
  <c r="N125" i="9" s="1"/>
  <c r="H124" i="9"/>
  <c r="E614" i="11"/>
  <c r="D615" i="11"/>
  <c r="G128" i="10" l="1"/>
  <c r="J127" i="10"/>
  <c r="P127" i="10" s="1"/>
  <c r="F130" i="10"/>
  <c r="E717" i="11"/>
  <c r="E126" i="9"/>
  <c r="N126" i="9" s="1"/>
  <c r="K124" i="9"/>
  <c r="P124" i="9" s="1"/>
  <c r="F125" i="9"/>
  <c r="G125" i="9"/>
  <c r="H125" i="9"/>
  <c r="I125" i="9"/>
  <c r="E615" i="11"/>
  <c r="D616" i="11"/>
  <c r="I126" i="9" l="1"/>
  <c r="G129" i="10"/>
  <c r="J128" i="10"/>
  <c r="P128" i="10" s="1"/>
  <c r="F131" i="10"/>
  <c r="F126" i="9"/>
  <c r="G126" i="9"/>
  <c r="H126" i="9"/>
  <c r="E718" i="11"/>
  <c r="E127" i="9"/>
  <c r="I127" i="9" s="1"/>
  <c r="K125" i="9"/>
  <c r="P125" i="9" s="1"/>
  <c r="E616" i="11"/>
  <c r="D617" i="11"/>
  <c r="G130" i="10" l="1"/>
  <c r="J129" i="10"/>
  <c r="P129" i="10" s="1"/>
  <c r="F132" i="10"/>
  <c r="E719" i="11"/>
  <c r="E128" i="9"/>
  <c r="K126" i="9"/>
  <c r="P126" i="9" s="1"/>
  <c r="F127" i="9"/>
  <c r="G127" i="9"/>
  <c r="I128" i="9"/>
  <c r="H127" i="9"/>
  <c r="N127" i="9"/>
  <c r="N128" i="9" s="1"/>
  <c r="E617" i="11"/>
  <c r="D618" i="11"/>
  <c r="G131" i="10" l="1"/>
  <c r="J130" i="10"/>
  <c r="P130" i="10" s="1"/>
  <c r="F133" i="10"/>
  <c r="K127" i="9"/>
  <c r="P127" i="9" s="1"/>
  <c r="F128" i="9"/>
  <c r="G128" i="9"/>
  <c r="H128" i="9"/>
  <c r="E720" i="11"/>
  <c r="E129" i="9"/>
  <c r="E618" i="11"/>
  <c r="D619" i="11"/>
  <c r="G132" i="10" l="1"/>
  <c r="J131" i="10"/>
  <c r="P131" i="10" s="1"/>
  <c r="F134" i="10"/>
  <c r="K128" i="9"/>
  <c r="P128" i="9" s="1"/>
  <c r="E721" i="11"/>
  <c r="E130" i="9"/>
  <c r="F129" i="9"/>
  <c r="G129" i="9"/>
  <c r="H129" i="9"/>
  <c r="I129" i="9"/>
  <c r="I130" i="9" s="1"/>
  <c r="N129" i="9"/>
  <c r="N130" i="9" s="1"/>
  <c r="E619" i="11"/>
  <c r="D620" i="11"/>
  <c r="G133" i="10" l="1"/>
  <c r="J132" i="10"/>
  <c r="P132" i="10" s="1"/>
  <c r="F135" i="10"/>
  <c r="F130" i="9"/>
  <c r="G130" i="9"/>
  <c r="H130" i="9"/>
  <c r="E722" i="11"/>
  <c r="E131" i="9"/>
  <c r="K129" i="9"/>
  <c r="P129" i="9" s="1"/>
  <c r="E620" i="11"/>
  <c r="D621" i="11"/>
  <c r="G134" i="10" l="1"/>
  <c r="J133" i="10"/>
  <c r="P133" i="10" s="1"/>
  <c r="F136" i="10"/>
  <c r="E723" i="11"/>
  <c r="E132" i="9"/>
  <c r="I131" i="9"/>
  <c r="F131" i="9"/>
  <c r="G131" i="9"/>
  <c r="H131" i="9"/>
  <c r="H132" i="9" s="1"/>
  <c r="K130" i="9"/>
  <c r="P130" i="9" s="1"/>
  <c r="N131" i="9"/>
  <c r="N132" i="9" s="1"/>
  <c r="E621" i="11"/>
  <c r="D622" i="11"/>
  <c r="I132" i="9" l="1"/>
  <c r="G135" i="10"/>
  <c r="J134" i="10"/>
  <c r="P134" i="10" s="1"/>
  <c r="F137" i="10"/>
  <c r="K131" i="9"/>
  <c r="P131" i="9" s="1"/>
  <c r="F132" i="9"/>
  <c r="G132" i="9"/>
  <c r="E724" i="11"/>
  <c r="E133" i="9"/>
  <c r="I133" i="9" s="1"/>
  <c r="N133" i="9"/>
  <c r="E622" i="11"/>
  <c r="D623" i="11"/>
  <c r="G136" i="10" l="1"/>
  <c r="J135" i="10"/>
  <c r="P135" i="10" s="1"/>
  <c r="F138" i="10"/>
  <c r="E725" i="11"/>
  <c r="E134" i="9"/>
  <c r="I134" i="9" s="1"/>
  <c r="K132" i="9"/>
  <c r="P132" i="9" s="1"/>
  <c r="F133" i="9"/>
  <c r="G133" i="9"/>
  <c r="H133" i="9"/>
  <c r="H134" i="9" s="1"/>
  <c r="E623" i="11"/>
  <c r="D624" i="11"/>
  <c r="N134" i="9" l="1"/>
  <c r="G137" i="10"/>
  <c r="J136" i="10"/>
  <c r="P136" i="10" s="1"/>
  <c r="K133" i="9"/>
  <c r="P133" i="9" s="1"/>
  <c r="F139" i="10"/>
  <c r="F134" i="9"/>
  <c r="G134" i="9"/>
  <c r="E726" i="11"/>
  <c r="E135" i="9"/>
  <c r="I135" i="9" s="1"/>
  <c r="E624" i="11"/>
  <c r="D625" i="11"/>
  <c r="G138" i="10" l="1"/>
  <c r="J137" i="10"/>
  <c r="P137" i="10" s="1"/>
  <c r="F140" i="10"/>
  <c r="F135" i="9"/>
  <c r="G135" i="9"/>
  <c r="H135" i="9"/>
  <c r="E727" i="11"/>
  <c r="E136" i="9"/>
  <c r="I136" i="9" s="1"/>
  <c r="K134" i="9"/>
  <c r="P134" i="9" s="1"/>
  <c r="N135" i="9"/>
  <c r="E625" i="11"/>
  <c r="D626" i="11"/>
  <c r="N136" i="9" l="1"/>
  <c r="G139" i="10"/>
  <c r="J138" i="10"/>
  <c r="P138" i="10" s="1"/>
  <c r="F141" i="10"/>
  <c r="H136" i="9"/>
  <c r="K135" i="9"/>
  <c r="P135" i="9" s="1"/>
  <c r="E728" i="11"/>
  <c r="E137" i="9"/>
  <c r="N137" i="9" s="1"/>
  <c r="F136" i="9"/>
  <c r="G136" i="9"/>
  <c r="E626" i="11"/>
  <c r="D627" i="11"/>
  <c r="G140" i="10" l="1"/>
  <c r="J139" i="10"/>
  <c r="P139" i="10" s="1"/>
  <c r="F142" i="10"/>
  <c r="K136" i="9"/>
  <c r="P136" i="9" s="1"/>
  <c r="F137" i="9"/>
  <c r="G137" i="9"/>
  <c r="I137" i="9"/>
  <c r="H137" i="9"/>
  <c r="E729" i="11"/>
  <c r="E138" i="9"/>
  <c r="E627" i="11"/>
  <c r="D628" i="11"/>
  <c r="H138" i="9" l="1"/>
  <c r="G141" i="10"/>
  <c r="J140" i="10"/>
  <c r="P140" i="10" s="1"/>
  <c r="F143" i="10"/>
  <c r="F138" i="9"/>
  <c r="G138" i="9"/>
  <c r="K137" i="9"/>
  <c r="P137" i="9" s="1"/>
  <c r="E730" i="11"/>
  <c r="E139" i="9"/>
  <c r="N138" i="9"/>
  <c r="N139" i="9" s="1"/>
  <c r="I138" i="9"/>
  <c r="E628" i="11"/>
  <c r="D629" i="11"/>
  <c r="E629" i="11" s="1"/>
  <c r="H139" i="9" l="1"/>
  <c r="G142" i="10"/>
  <c r="J141" i="10"/>
  <c r="P141" i="10" s="1"/>
  <c r="F144" i="10"/>
  <c r="E731" i="11"/>
  <c r="E140" i="9"/>
  <c r="N140" i="9" s="1"/>
  <c r="K138" i="9"/>
  <c r="P138" i="9" s="1"/>
  <c r="F139" i="9"/>
  <c r="G139" i="9"/>
  <c r="I139" i="9"/>
  <c r="G143" i="10" l="1"/>
  <c r="J142" i="10"/>
  <c r="P142" i="10" s="1"/>
  <c r="F145" i="10"/>
  <c r="K139" i="9"/>
  <c r="P139" i="9" s="1"/>
  <c r="F140" i="9"/>
  <c r="G140" i="9"/>
  <c r="H140" i="9"/>
  <c r="I140" i="9"/>
  <c r="E732" i="11"/>
  <c r="E141" i="9"/>
  <c r="H141" i="9" l="1"/>
  <c r="G144" i="10"/>
  <c r="J143" i="10"/>
  <c r="P143" i="10" s="1"/>
  <c r="F146" i="10"/>
  <c r="K140" i="9"/>
  <c r="P140" i="9" s="1"/>
  <c r="F141" i="9"/>
  <c r="G141" i="9"/>
  <c r="I141" i="9"/>
  <c r="N141" i="9"/>
  <c r="N142" i="9" s="1"/>
  <c r="E733" i="11"/>
  <c r="E142" i="9"/>
  <c r="G145" i="10" l="1"/>
  <c r="J144" i="10"/>
  <c r="P144" i="10" s="1"/>
  <c r="F147" i="10"/>
  <c r="E734" i="11"/>
  <c r="E143" i="9"/>
  <c r="N143" i="9" s="1"/>
  <c r="K141" i="9"/>
  <c r="P141" i="9" s="1"/>
  <c r="H142" i="9"/>
  <c r="H143" i="9" s="1"/>
  <c r="F142" i="9"/>
  <c r="G142" i="9"/>
  <c r="I142" i="9"/>
  <c r="I143" i="9" s="1"/>
  <c r="G146" i="10" l="1"/>
  <c r="J145" i="10"/>
  <c r="P145" i="10" s="1"/>
  <c r="F148" i="10"/>
  <c r="K142" i="9"/>
  <c r="P142" i="9" s="1"/>
  <c r="F143" i="9"/>
  <c r="G143" i="9"/>
  <c r="E735" i="11"/>
  <c r="E144" i="9"/>
  <c r="G147" i="10" l="1"/>
  <c r="J146" i="10"/>
  <c r="P146" i="10" s="1"/>
  <c r="F149" i="10"/>
  <c r="F144" i="9"/>
  <c r="G144" i="9"/>
  <c r="I144" i="9"/>
  <c r="E736" i="11"/>
  <c r="E145" i="9"/>
  <c r="N144" i="9"/>
  <c r="N145" i="9" s="1"/>
  <c r="H144" i="9"/>
  <c r="K143" i="9"/>
  <c r="P143" i="9" s="1"/>
  <c r="G148" i="10" l="1"/>
  <c r="J147" i="10"/>
  <c r="P147" i="10" s="1"/>
  <c r="F150" i="10"/>
  <c r="F145" i="9"/>
  <c r="G145" i="9"/>
  <c r="H145" i="9"/>
  <c r="E737" i="11"/>
  <c r="E146" i="9"/>
  <c r="I145" i="9"/>
  <c r="I146" i="9" s="1"/>
  <c r="K144" i="9"/>
  <c r="P144" i="9" s="1"/>
  <c r="G149" i="10" l="1"/>
  <c r="J148" i="10"/>
  <c r="P148" i="10" s="1"/>
  <c r="F151" i="10"/>
  <c r="F146" i="9"/>
  <c r="G146" i="9"/>
  <c r="H146" i="9"/>
  <c r="E738" i="11"/>
  <c r="E147" i="9"/>
  <c r="K145" i="9"/>
  <c r="P145" i="9" s="1"/>
  <c r="N146" i="9"/>
  <c r="N147" i="9" s="1"/>
  <c r="G150" i="10" l="1"/>
  <c r="J149" i="10"/>
  <c r="P149" i="10" s="1"/>
  <c r="F152" i="10"/>
  <c r="E739" i="11"/>
  <c r="E148" i="9"/>
  <c r="N148" i="9" s="1"/>
  <c r="F147" i="9"/>
  <c r="G147" i="9"/>
  <c r="H147" i="9"/>
  <c r="I147" i="9"/>
  <c r="I148" i="9" s="1"/>
  <c r="K146" i="9"/>
  <c r="P146" i="9" s="1"/>
  <c r="G151" i="10" l="1"/>
  <c r="J150" i="10"/>
  <c r="P150" i="10" s="1"/>
  <c r="F153" i="10"/>
  <c r="K147" i="9"/>
  <c r="P147" i="9" s="1"/>
  <c r="F148" i="9"/>
  <c r="G148" i="9"/>
  <c r="H148" i="9"/>
  <c r="E740" i="11"/>
  <c r="E149" i="9"/>
  <c r="N149" i="9" s="1"/>
  <c r="G152" i="10" l="1"/>
  <c r="J151" i="10"/>
  <c r="P151" i="10" s="1"/>
  <c r="F154" i="10"/>
  <c r="E741" i="11"/>
  <c r="E150" i="9"/>
  <c r="N150" i="9" s="1"/>
  <c r="F149" i="9"/>
  <c r="G149" i="9"/>
  <c r="I149" i="9"/>
  <c r="H149" i="9"/>
  <c r="H150" i="9" s="1"/>
  <c r="K148" i="9"/>
  <c r="P148" i="9" s="1"/>
  <c r="I150" i="9" l="1"/>
  <c r="G153" i="10"/>
  <c r="J152" i="10"/>
  <c r="P152" i="10" s="1"/>
  <c r="F155" i="10"/>
  <c r="K149" i="9"/>
  <c r="P149" i="9" s="1"/>
  <c r="F150" i="9"/>
  <c r="G150" i="9"/>
  <c r="E742" i="11"/>
  <c r="E151" i="9"/>
  <c r="N151" i="9"/>
  <c r="G154" i="10" l="1"/>
  <c r="J153" i="10"/>
  <c r="P153" i="10" s="1"/>
  <c r="F156" i="10"/>
  <c r="E743" i="11"/>
  <c r="E152" i="9"/>
  <c r="F151" i="9"/>
  <c r="G151" i="9"/>
  <c r="H151" i="9"/>
  <c r="H152" i="9" s="1"/>
  <c r="I151" i="9"/>
  <c r="I152" i="9" s="1"/>
  <c r="K150" i="9"/>
  <c r="P150" i="9" s="1"/>
  <c r="N152" i="9"/>
  <c r="G155" i="10" l="1"/>
  <c r="J154" i="10"/>
  <c r="P154" i="10" s="1"/>
  <c r="F157" i="10"/>
  <c r="K151" i="9"/>
  <c r="P151" i="9" s="1"/>
  <c r="F152" i="9"/>
  <c r="G152" i="9"/>
  <c r="E744" i="11"/>
  <c r="E153" i="9"/>
  <c r="G156" i="10" l="1"/>
  <c r="J155" i="10"/>
  <c r="P155" i="10" s="1"/>
  <c r="F158" i="10"/>
  <c r="F153" i="9"/>
  <c r="G153" i="9"/>
  <c r="H153" i="9"/>
  <c r="I153" i="9"/>
  <c r="K152" i="9"/>
  <c r="P152" i="9" s="1"/>
  <c r="E745" i="11"/>
  <c r="E154" i="9"/>
  <c r="N153" i="9"/>
  <c r="N154" i="9" s="1"/>
  <c r="H154" i="9" l="1"/>
  <c r="G157" i="10"/>
  <c r="J156" i="10"/>
  <c r="P156" i="10" s="1"/>
  <c r="F159" i="10"/>
  <c r="F154" i="9"/>
  <c r="G154" i="9"/>
  <c r="E746" i="11"/>
  <c r="E155" i="9"/>
  <c r="N155" i="9" s="1"/>
  <c r="I154" i="9"/>
  <c r="K153" i="9"/>
  <c r="P153" i="9" s="1"/>
  <c r="G158" i="10" l="1"/>
  <c r="J157" i="10"/>
  <c r="P157" i="10" s="1"/>
  <c r="F160" i="10"/>
  <c r="F155" i="9"/>
  <c r="G155" i="9"/>
  <c r="H155" i="9"/>
  <c r="I155" i="9"/>
  <c r="I156" i="9" s="1"/>
  <c r="E747" i="11"/>
  <c r="E156" i="9"/>
  <c r="K154" i="9"/>
  <c r="P154" i="9" s="1"/>
  <c r="H156" i="9" l="1"/>
  <c r="G159" i="10"/>
  <c r="J158" i="10"/>
  <c r="P158" i="10" s="1"/>
  <c r="F161" i="10"/>
  <c r="K155" i="9"/>
  <c r="P155" i="9" s="1"/>
  <c r="F156" i="9"/>
  <c r="G156" i="9"/>
  <c r="N156" i="9"/>
  <c r="N157" i="9" s="1"/>
  <c r="E748" i="11"/>
  <c r="E157" i="9"/>
  <c r="G160" i="10" l="1"/>
  <c r="J159" i="10"/>
  <c r="P159" i="10" s="1"/>
  <c r="F162" i="10"/>
  <c r="I157" i="9"/>
  <c r="H157" i="9"/>
  <c r="E749" i="11"/>
  <c r="E158" i="9"/>
  <c r="K156" i="9"/>
  <c r="P156" i="9" s="1"/>
  <c r="F157" i="9"/>
  <c r="G157" i="9"/>
  <c r="I158" i="9" l="1"/>
  <c r="G161" i="10"/>
  <c r="J160" i="10"/>
  <c r="P160" i="10" s="1"/>
  <c r="F163" i="10"/>
  <c r="N158" i="9"/>
  <c r="N159" i="9" s="1"/>
  <c r="F158" i="9"/>
  <c r="G158" i="9"/>
  <c r="E750" i="11"/>
  <c r="E159" i="9"/>
  <c r="K157" i="9"/>
  <c r="P157" i="9" s="1"/>
  <c r="H158" i="9"/>
  <c r="G162" i="10" l="1"/>
  <c r="J161" i="10"/>
  <c r="P161" i="10" s="1"/>
  <c r="F164" i="10"/>
  <c r="F159" i="9"/>
  <c r="G159" i="9"/>
  <c r="H159" i="9"/>
  <c r="E751" i="11"/>
  <c r="E160" i="9"/>
  <c r="K158" i="9"/>
  <c r="P158" i="9" s="1"/>
  <c r="N160" i="9"/>
  <c r="I159" i="9"/>
  <c r="G163" i="10" l="1"/>
  <c r="J162" i="10"/>
  <c r="P162" i="10" s="1"/>
  <c r="F165" i="10"/>
  <c r="I160" i="9"/>
  <c r="F160" i="9"/>
  <c r="G160" i="9"/>
  <c r="H160" i="9"/>
  <c r="K159" i="9"/>
  <c r="P159" i="9" s="1"/>
  <c r="E752" i="11"/>
  <c r="E161" i="9"/>
  <c r="G164" i="10" l="1"/>
  <c r="J163" i="10"/>
  <c r="P163" i="10" s="1"/>
  <c r="F166" i="10"/>
  <c r="F161" i="9"/>
  <c r="G161" i="9"/>
  <c r="H161" i="9"/>
  <c r="I161" i="9"/>
  <c r="K160" i="9"/>
  <c r="P160" i="9" s="1"/>
  <c r="E753" i="11"/>
  <c r="E162" i="9"/>
  <c r="N161" i="9"/>
  <c r="N162" i="9" s="1"/>
  <c r="H162" i="9" l="1"/>
  <c r="G165" i="10"/>
  <c r="J164" i="10"/>
  <c r="P164" i="10" s="1"/>
  <c r="F167" i="10"/>
  <c r="F162" i="9"/>
  <c r="G162" i="9"/>
  <c r="K161" i="9"/>
  <c r="P161" i="9" s="1"/>
  <c r="E754" i="11"/>
  <c r="E163" i="9"/>
  <c r="I162" i="9"/>
  <c r="H163" i="9" l="1"/>
  <c r="G166" i="10"/>
  <c r="J165" i="10"/>
  <c r="P165" i="10" s="1"/>
  <c r="F168" i="10"/>
  <c r="E755" i="11"/>
  <c r="E164" i="9"/>
  <c r="K162" i="9"/>
  <c r="P162" i="9" s="1"/>
  <c r="F163" i="9"/>
  <c r="G163" i="9"/>
  <c r="I163" i="9"/>
  <c r="I164" i="9" s="1"/>
  <c r="N163" i="9"/>
  <c r="N164" i="9" s="1"/>
  <c r="G167" i="10" l="1"/>
  <c r="J166" i="10"/>
  <c r="P166" i="10" s="1"/>
  <c r="F169" i="10"/>
  <c r="F164" i="9"/>
  <c r="G164" i="9"/>
  <c r="H164" i="9"/>
  <c r="E756" i="11"/>
  <c r="E165" i="9"/>
  <c r="K163" i="9"/>
  <c r="P163" i="9" s="1"/>
  <c r="G168" i="10" l="1"/>
  <c r="J167" i="10"/>
  <c r="P167" i="10" s="1"/>
  <c r="F170" i="10"/>
  <c r="H165" i="9"/>
  <c r="I165" i="9"/>
  <c r="F165" i="9"/>
  <c r="G165" i="9"/>
  <c r="K164" i="9"/>
  <c r="P164" i="9" s="1"/>
  <c r="E757" i="11"/>
  <c r="E166" i="9"/>
  <c r="N165" i="9"/>
  <c r="N166" i="9" s="1"/>
  <c r="G169" i="10" l="1"/>
  <c r="J168" i="10"/>
  <c r="P168" i="10" s="1"/>
  <c r="F171" i="10"/>
  <c r="K165" i="9"/>
  <c r="P165" i="9" s="1"/>
  <c r="F166" i="9"/>
  <c r="G166" i="9"/>
  <c r="I166" i="9"/>
  <c r="E758" i="11"/>
  <c r="E167" i="9"/>
  <c r="H166" i="9"/>
  <c r="I167" i="9" l="1"/>
  <c r="G170" i="10"/>
  <c r="J169" i="10"/>
  <c r="P169" i="10" s="1"/>
  <c r="F172" i="10"/>
  <c r="E759" i="11"/>
  <c r="E168" i="9"/>
  <c r="K166" i="9"/>
  <c r="P166" i="9" s="1"/>
  <c r="N167" i="9"/>
  <c r="N168" i="9" s="1"/>
  <c r="F167" i="9"/>
  <c r="G167" i="9"/>
  <c r="H167" i="9"/>
  <c r="I168" i="9" l="1"/>
  <c r="G171" i="10"/>
  <c r="J170" i="10"/>
  <c r="P170" i="10" s="1"/>
  <c r="F173" i="10"/>
  <c r="K167" i="9"/>
  <c r="P167" i="9" s="1"/>
  <c r="F168" i="9"/>
  <c r="G168" i="9"/>
  <c r="H168" i="9"/>
  <c r="E760" i="11"/>
  <c r="E169" i="9"/>
  <c r="I169" i="9" l="1"/>
  <c r="I170" i="9" s="1"/>
  <c r="G172" i="10"/>
  <c r="J171" i="10"/>
  <c r="P171" i="10" s="1"/>
  <c r="F174" i="10"/>
  <c r="E761" i="11"/>
  <c r="E170" i="9"/>
  <c r="K168" i="9"/>
  <c r="P168" i="9" s="1"/>
  <c r="F169" i="9"/>
  <c r="G169" i="9"/>
  <c r="H169" i="9"/>
  <c r="N169" i="9"/>
  <c r="N170" i="9" s="1"/>
  <c r="H170" i="9" l="1"/>
  <c r="G173" i="10"/>
  <c r="J172" i="10"/>
  <c r="P172" i="10" s="1"/>
  <c r="F175" i="10"/>
  <c r="K169" i="9"/>
  <c r="P169" i="9" s="1"/>
  <c r="F170" i="9"/>
  <c r="G170" i="9"/>
  <c r="E762" i="11"/>
  <c r="E171" i="9"/>
  <c r="G174" i="10" l="1"/>
  <c r="J173" i="10"/>
  <c r="P173" i="10" s="1"/>
  <c r="F176" i="10"/>
  <c r="E763" i="11"/>
  <c r="E172" i="9"/>
  <c r="K170" i="9"/>
  <c r="P170" i="9" s="1"/>
  <c r="F171" i="9"/>
  <c r="G171" i="9"/>
  <c r="H171" i="9"/>
  <c r="H172" i="9" s="1"/>
  <c r="I171" i="9"/>
  <c r="N171" i="9"/>
  <c r="N172" i="9" s="1"/>
  <c r="I172" i="9" l="1"/>
  <c r="G175" i="10"/>
  <c r="J174" i="10"/>
  <c r="P174" i="10" s="1"/>
  <c r="F177" i="10"/>
  <c r="F172" i="9"/>
  <c r="G172" i="9"/>
  <c r="E764" i="11"/>
  <c r="E173" i="9"/>
  <c r="K171" i="9"/>
  <c r="P171" i="9" s="1"/>
  <c r="G176" i="10" l="1"/>
  <c r="J175" i="10"/>
  <c r="P175" i="10" s="1"/>
  <c r="F178" i="10"/>
  <c r="F173" i="9"/>
  <c r="G173" i="9"/>
  <c r="H173" i="9"/>
  <c r="I173" i="9"/>
  <c r="K172" i="9"/>
  <c r="P172" i="9" s="1"/>
  <c r="E765" i="11"/>
  <c r="E174" i="9"/>
  <c r="N173" i="9"/>
  <c r="N174" i="9" s="1"/>
  <c r="G177" i="10" l="1"/>
  <c r="J176" i="10"/>
  <c r="P176" i="10" s="1"/>
  <c r="F179" i="10"/>
  <c r="F174" i="9"/>
  <c r="G174" i="9"/>
  <c r="K173" i="9"/>
  <c r="P173" i="9" s="1"/>
  <c r="E766" i="11"/>
  <c r="E175" i="9"/>
  <c r="I174" i="9"/>
  <c r="H174" i="9"/>
  <c r="G178" i="10" l="1"/>
  <c r="J177" i="10"/>
  <c r="P177" i="10" s="1"/>
  <c r="F180" i="10"/>
  <c r="F175" i="9"/>
  <c r="G175" i="9"/>
  <c r="I175" i="9"/>
  <c r="N175" i="9"/>
  <c r="N176" i="9" s="1"/>
  <c r="E767" i="11"/>
  <c r="E176" i="9"/>
  <c r="H175" i="9"/>
  <c r="K174" i="9"/>
  <c r="P174" i="9" s="1"/>
  <c r="I176" i="9" l="1"/>
  <c r="H176" i="9"/>
  <c r="G179" i="10"/>
  <c r="J178" i="10"/>
  <c r="P178" i="10" s="1"/>
  <c r="F181" i="10"/>
  <c r="E768" i="11"/>
  <c r="E177" i="9"/>
  <c r="N177" i="9" s="1"/>
  <c r="K175" i="9"/>
  <c r="P175" i="9" s="1"/>
  <c r="F176" i="9"/>
  <c r="G176" i="9"/>
  <c r="H177" i="9" l="1"/>
  <c r="I177" i="9"/>
  <c r="G180" i="10"/>
  <c r="J179" i="10"/>
  <c r="P179" i="10" s="1"/>
  <c r="F182" i="10"/>
  <c r="K176" i="9"/>
  <c r="P176" i="9" s="1"/>
  <c r="F177" i="9"/>
  <c r="G177" i="9"/>
  <c r="E769" i="11"/>
  <c r="E178" i="9"/>
  <c r="G181" i="10" l="1"/>
  <c r="J180" i="10"/>
  <c r="P180" i="10" s="1"/>
  <c r="F183" i="10"/>
  <c r="F178" i="9"/>
  <c r="G178" i="9"/>
  <c r="H178" i="9"/>
  <c r="K177" i="9"/>
  <c r="P177" i="9" s="1"/>
  <c r="I178" i="9"/>
  <c r="E770" i="11"/>
  <c r="E179" i="9"/>
  <c r="N178" i="9"/>
  <c r="N179" i="9" s="1"/>
  <c r="G182" i="10" l="1"/>
  <c r="J181" i="10"/>
  <c r="P181" i="10" s="1"/>
  <c r="F184" i="10"/>
  <c r="F179" i="9"/>
  <c r="G179" i="9"/>
  <c r="H179" i="9"/>
  <c r="E771" i="11"/>
  <c r="E180" i="9"/>
  <c r="I179" i="9"/>
  <c r="K178" i="9"/>
  <c r="P178" i="9" s="1"/>
  <c r="G183" i="10" l="1"/>
  <c r="J182" i="10"/>
  <c r="P182" i="10" s="1"/>
  <c r="F185" i="10"/>
  <c r="H180" i="9"/>
  <c r="K179" i="9"/>
  <c r="P179" i="9" s="1"/>
  <c r="F180" i="9"/>
  <c r="G180" i="9"/>
  <c r="N180" i="9"/>
  <c r="N181" i="9" s="1"/>
  <c r="E772" i="11"/>
  <c r="E181" i="9"/>
  <c r="I180" i="9"/>
  <c r="H181" i="9" l="1"/>
  <c r="G184" i="10"/>
  <c r="J183" i="10"/>
  <c r="P183" i="10" s="1"/>
  <c r="F186" i="10"/>
  <c r="E773" i="11"/>
  <c r="E182" i="9"/>
  <c r="I181" i="9"/>
  <c r="I182" i="9" s="1"/>
  <c r="N182" i="9"/>
  <c r="K180" i="9"/>
  <c r="P180" i="9" s="1"/>
  <c r="F181" i="9"/>
  <c r="G181" i="9"/>
  <c r="G185" i="10" l="1"/>
  <c r="J184" i="10"/>
  <c r="P184" i="10" s="1"/>
  <c r="F187" i="10"/>
  <c r="K181" i="9"/>
  <c r="P181" i="9" s="1"/>
  <c r="F182" i="9"/>
  <c r="G182" i="9"/>
  <c r="H182" i="9"/>
  <c r="E774" i="11"/>
  <c r="E183" i="9"/>
  <c r="G186" i="10" l="1"/>
  <c r="J185" i="10"/>
  <c r="P185" i="10" s="1"/>
  <c r="F188" i="10"/>
  <c r="F183" i="9"/>
  <c r="G183" i="9"/>
  <c r="H183" i="9"/>
  <c r="K182" i="9"/>
  <c r="P182" i="9" s="1"/>
  <c r="E775" i="11"/>
  <c r="E184" i="9"/>
  <c r="I183" i="9"/>
  <c r="N183" i="9"/>
  <c r="N184" i="9" s="1"/>
  <c r="I184" i="9" l="1"/>
  <c r="G187" i="10"/>
  <c r="J186" i="10"/>
  <c r="P186" i="10" s="1"/>
  <c r="F189" i="10"/>
  <c r="F184" i="9"/>
  <c r="G184" i="9"/>
  <c r="E776" i="11"/>
  <c r="E185" i="9"/>
  <c r="N185" i="9" s="1"/>
  <c r="H184" i="9"/>
  <c r="K183" i="9"/>
  <c r="P183" i="9" s="1"/>
  <c r="G188" i="10" l="1"/>
  <c r="J187" i="10"/>
  <c r="P187" i="10" s="1"/>
  <c r="F190" i="10"/>
  <c r="K184" i="9"/>
  <c r="P184" i="9" s="1"/>
  <c r="F185" i="9"/>
  <c r="G185" i="9"/>
  <c r="I185" i="9"/>
  <c r="H185" i="9"/>
  <c r="E777" i="11"/>
  <c r="E186" i="9"/>
  <c r="N186" i="9" s="1"/>
  <c r="H186" i="9" l="1"/>
  <c r="H187" i="9" s="1"/>
  <c r="G189" i="10"/>
  <c r="J188" i="10"/>
  <c r="P188" i="10" s="1"/>
  <c r="F191" i="10"/>
  <c r="I186" i="9"/>
  <c r="I187" i="9" s="1"/>
  <c r="K185" i="9"/>
  <c r="P185" i="9" s="1"/>
  <c r="E778" i="11"/>
  <c r="E187" i="9"/>
  <c r="N187" i="9" s="1"/>
  <c r="F186" i="9"/>
  <c r="G186" i="9"/>
  <c r="G190" i="10" l="1"/>
  <c r="J189" i="10"/>
  <c r="P189" i="10" s="1"/>
  <c r="F192" i="10"/>
  <c r="K186" i="9"/>
  <c r="P186" i="9" s="1"/>
  <c r="E779" i="11"/>
  <c r="E188" i="9"/>
  <c r="F187" i="9"/>
  <c r="G187" i="9"/>
  <c r="H188" i="9"/>
  <c r="I188" i="9"/>
  <c r="N188" i="9"/>
  <c r="G191" i="10" l="1"/>
  <c r="J190" i="10"/>
  <c r="P190" i="10" s="1"/>
  <c r="F193" i="10"/>
  <c r="K187" i="9"/>
  <c r="P187" i="9" s="1"/>
  <c r="F188" i="9"/>
  <c r="G188" i="9"/>
  <c r="E780" i="11"/>
  <c r="E189" i="9"/>
  <c r="G192" i="10" l="1"/>
  <c r="J191" i="10"/>
  <c r="P191" i="10" s="1"/>
  <c r="F194" i="10"/>
  <c r="F189" i="9"/>
  <c r="G189" i="9"/>
  <c r="H189" i="9"/>
  <c r="K188" i="9"/>
  <c r="P188" i="9" s="1"/>
  <c r="E781" i="11"/>
  <c r="E190" i="9"/>
  <c r="I189" i="9"/>
  <c r="N189" i="9"/>
  <c r="N190" i="9" s="1"/>
  <c r="G193" i="10" l="1"/>
  <c r="J192" i="10"/>
  <c r="P192" i="10" s="1"/>
  <c r="F195" i="10"/>
  <c r="F190" i="9"/>
  <c r="G190" i="9"/>
  <c r="H190" i="9"/>
  <c r="E782" i="11"/>
  <c r="E191" i="9"/>
  <c r="I190" i="9"/>
  <c r="K189" i="9"/>
  <c r="P189" i="9" s="1"/>
  <c r="G194" i="10" l="1"/>
  <c r="J193" i="10"/>
  <c r="P193" i="10" s="1"/>
  <c r="F196" i="10"/>
  <c r="F191" i="9"/>
  <c r="G191" i="9"/>
  <c r="H191" i="9"/>
  <c r="K190" i="9"/>
  <c r="P190" i="9" s="1"/>
  <c r="E783" i="11"/>
  <c r="E192" i="9"/>
  <c r="I191" i="9"/>
  <c r="N191" i="9"/>
  <c r="N192" i="9" s="1"/>
  <c r="H192" i="9" l="1"/>
  <c r="G195" i="10"/>
  <c r="J194" i="10"/>
  <c r="P194" i="10" s="1"/>
  <c r="F197" i="10"/>
  <c r="K191" i="9"/>
  <c r="P191" i="9" s="1"/>
  <c r="E784" i="11"/>
  <c r="E193" i="9"/>
  <c r="F192" i="9"/>
  <c r="G192" i="9"/>
  <c r="I192" i="9"/>
  <c r="I193" i="9" s="1"/>
  <c r="G196" i="10" l="1"/>
  <c r="J195" i="10"/>
  <c r="P195" i="10" s="1"/>
  <c r="F198" i="10"/>
  <c r="K192" i="9"/>
  <c r="P192" i="9" s="1"/>
  <c r="F193" i="9"/>
  <c r="G193" i="9"/>
  <c r="H193" i="9"/>
  <c r="E785" i="11"/>
  <c r="E194" i="9"/>
  <c r="N193" i="9"/>
  <c r="N194" i="9" s="1"/>
  <c r="G197" i="10" l="1"/>
  <c r="J196" i="10"/>
  <c r="P196" i="10" s="1"/>
  <c r="F199" i="10"/>
  <c r="F194" i="9"/>
  <c r="G194" i="9"/>
  <c r="K193" i="9"/>
  <c r="P193" i="9" s="1"/>
  <c r="E786" i="11"/>
  <c r="E195" i="9"/>
  <c r="I194" i="9"/>
  <c r="I195" i="9" s="1"/>
  <c r="H194" i="9"/>
  <c r="H195" i="9" s="1"/>
  <c r="G198" i="10" l="1"/>
  <c r="J197" i="10"/>
  <c r="P197" i="10" s="1"/>
  <c r="F200" i="10"/>
  <c r="F195" i="9"/>
  <c r="G195" i="9"/>
  <c r="K194" i="9"/>
  <c r="P194" i="9" s="1"/>
  <c r="E787" i="11"/>
  <c r="E196" i="9"/>
  <c r="H196" i="9"/>
  <c r="N195" i="9"/>
  <c r="N196" i="9" l="1"/>
  <c r="G199" i="10"/>
  <c r="J198" i="10"/>
  <c r="P198" i="10" s="1"/>
  <c r="F201" i="10"/>
  <c r="K195" i="9"/>
  <c r="P195" i="9" s="1"/>
  <c r="F196" i="9"/>
  <c r="G196" i="9"/>
  <c r="E788" i="11"/>
  <c r="E197" i="9"/>
  <c r="I196" i="9"/>
  <c r="I197" i="9" s="1"/>
  <c r="G200" i="10" l="1"/>
  <c r="J199" i="10"/>
  <c r="P199" i="10" s="1"/>
  <c r="F202" i="10"/>
  <c r="K196" i="9"/>
  <c r="P196" i="9" s="1"/>
  <c r="F197" i="9"/>
  <c r="G197" i="9"/>
  <c r="N197" i="9"/>
  <c r="N198" i="9" s="1"/>
  <c r="E789" i="11"/>
  <c r="E198" i="9"/>
  <c r="I198" i="9" s="1"/>
  <c r="H197" i="9"/>
  <c r="G201" i="10" l="1"/>
  <c r="J200" i="10"/>
  <c r="P200" i="10" s="1"/>
  <c r="F203" i="10"/>
  <c r="F198" i="9"/>
  <c r="G198" i="9"/>
  <c r="H198" i="9"/>
  <c r="E790" i="11"/>
  <c r="E199" i="9"/>
  <c r="K197" i="9"/>
  <c r="P197" i="9" s="1"/>
  <c r="N199" i="9"/>
  <c r="G202" i="10" l="1"/>
  <c r="J201" i="10"/>
  <c r="P201" i="10" s="1"/>
  <c r="F204" i="10"/>
  <c r="F199" i="9"/>
  <c r="G199" i="9"/>
  <c r="I199" i="9"/>
  <c r="K198" i="9"/>
  <c r="P198" i="9" s="1"/>
  <c r="E791" i="11"/>
  <c r="E200" i="9"/>
  <c r="H199" i="9"/>
  <c r="I200" i="9" l="1"/>
  <c r="G203" i="10"/>
  <c r="J202" i="10"/>
  <c r="P202" i="10" s="1"/>
  <c r="F205" i="10"/>
  <c r="F200" i="9"/>
  <c r="G200" i="9"/>
  <c r="H200" i="9"/>
  <c r="K199" i="9"/>
  <c r="P199" i="9" s="1"/>
  <c r="E792" i="11"/>
  <c r="E201" i="9"/>
  <c r="I201" i="9" s="1"/>
  <c r="N200" i="9"/>
  <c r="N201" i="9" s="1"/>
  <c r="G204" i="10" l="1"/>
  <c r="J203" i="10"/>
  <c r="P203" i="10" s="1"/>
  <c r="F206" i="10"/>
  <c r="F201" i="9"/>
  <c r="G201" i="9"/>
  <c r="H201" i="9"/>
  <c r="K200" i="9"/>
  <c r="P200" i="9" s="1"/>
  <c r="E793" i="11"/>
  <c r="E202" i="9"/>
  <c r="I202" i="9" s="1"/>
  <c r="G205" i="10" l="1"/>
  <c r="J204" i="10"/>
  <c r="P204" i="10" s="1"/>
  <c r="F207" i="10"/>
  <c r="K201" i="9"/>
  <c r="P201" i="9" s="1"/>
  <c r="E794" i="11"/>
  <c r="E203" i="9"/>
  <c r="F202" i="9"/>
  <c r="G202" i="9"/>
  <c r="I203" i="9"/>
  <c r="H202" i="9"/>
  <c r="N202" i="9"/>
  <c r="N203" i="9" s="1"/>
  <c r="G206" i="10" l="1"/>
  <c r="J205" i="10"/>
  <c r="P205" i="10" s="1"/>
  <c r="F208" i="10"/>
  <c r="F203" i="9"/>
  <c r="G203" i="9"/>
  <c r="H203" i="9"/>
  <c r="E795" i="11"/>
  <c r="E204" i="9"/>
  <c r="N204" i="9"/>
  <c r="K202" i="9"/>
  <c r="P202" i="9" s="1"/>
  <c r="G207" i="10" l="1"/>
  <c r="J206" i="10"/>
  <c r="P206" i="10" s="1"/>
  <c r="F209" i="10"/>
  <c r="E796" i="11"/>
  <c r="E205" i="9"/>
  <c r="N205" i="9" s="1"/>
  <c r="F204" i="9"/>
  <c r="G204" i="9"/>
  <c r="H204" i="9"/>
  <c r="H205" i="9" s="1"/>
  <c r="I204" i="9"/>
  <c r="I205" i="9" s="1"/>
  <c r="K203" i="9"/>
  <c r="P203" i="9" s="1"/>
  <c r="G208" i="10" l="1"/>
  <c r="J207" i="10"/>
  <c r="P207" i="10" s="1"/>
  <c r="F210" i="10"/>
  <c r="K204" i="9"/>
  <c r="P204" i="9" s="1"/>
  <c r="F205" i="9"/>
  <c r="G205" i="9"/>
  <c r="E797" i="11"/>
  <c r="E206" i="9"/>
  <c r="G209" i="10" l="1"/>
  <c r="J208" i="10"/>
  <c r="P208" i="10" s="1"/>
  <c r="F211" i="10"/>
  <c r="E798" i="11"/>
  <c r="E207" i="9"/>
  <c r="K205" i="9"/>
  <c r="P205" i="9" s="1"/>
  <c r="F206" i="9"/>
  <c r="G206" i="9"/>
  <c r="H206" i="9"/>
  <c r="H207" i="9" s="1"/>
  <c r="N206" i="9"/>
  <c r="N207" i="9" s="1"/>
  <c r="I206" i="9"/>
  <c r="I207" i="9" s="1"/>
  <c r="G210" i="10" l="1"/>
  <c r="J209" i="10"/>
  <c r="P209" i="10" s="1"/>
  <c r="F212" i="10"/>
  <c r="F207" i="9"/>
  <c r="G207" i="9"/>
  <c r="E799" i="11"/>
  <c r="E208" i="9"/>
  <c r="K206" i="9"/>
  <c r="P206" i="9" s="1"/>
  <c r="G211" i="10" l="1"/>
  <c r="J210" i="10"/>
  <c r="P210" i="10" s="1"/>
  <c r="F213" i="10"/>
  <c r="E800" i="11"/>
  <c r="E209" i="9"/>
  <c r="K207" i="9"/>
  <c r="P207" i="9" s="1"/>
  <c r="F208" i="9"/>
  <c r="G208" i="9"/>
  <c r="H208" i="9"/>
  <c r="H209" i="9" s="1"/>
  <c r="I208" i="9"/>
  <c r="I209" i="9" s="1"/>
  <c r="N208" i="9"/>
  <c r="N209" i="9" s="1"/>
  <c r="G212" i="10" l="1"/>
  <c r="J211" i="10"/>
  <c r="P211" i="10" s="1"/>
  <c r="F214" i="10"/>
  <c r="K208" i="9"/>
  <c r="P208" i="9" s="1"/>
  <c r="F209" i="9"/>
  <c r="G209" i="9"/>
  <c r="E801" i="11"/>
  <c r="E210" i="9"/>
  <c r="N210" i="9" s="1"/>
  <c r="G213" i="10" l="1"/>
  <c r="J212" i="10"/>
  <c r="P212" i="10" s="1"/>
  <c r="F215" i="10"/>
  <c r="I210" i="9"/>
  <c r="I211" i="9" s="1"/>
  <c r="E802" i="11"/>
  <c r="E211" i="9"/>
  <c r="K209" i="9"/>
  <c r="P209" i="9" s="1"/>
  <c r="F210" i="9"/>
  <c r="G210" i="9"/>
  <c r="H210" i="9"/>
  <c r="H211" i="9" s="1"/>
  <c r="N211" i="9"/>
  <c r="G214" i="10" l="1"/>
  <c r="J213" i="10"/>
  <c r="P213" i="10" s="1"/>
  <c r="F216" i="10"/>
  <c r="K210" i="9"/>
  <c r="P210" i="9" s="1"/>
  <c r="F211" i="9"/>
  <c r="G211" i="9"/>
  <c r="E803" i="11"/>
  <c r="E212" i="9"/>
  <c r="G215" i="10" l="1"/>
  <c r="J214" i="10"/>
  <c r="P214" i="10" s="1"/>
  <c r="F217" i="10"/>
  <c r="F212" i="9"/>
  <c r="G212" i="9"/>
  <c r="H212" i="9"/>
  <c r="K211" i="9"/>
  <c r="P211" i="9" s="1"/>
  <c r="I212" i="9"/>
  <c r="E804" i="11"/>
  <c r="E213" i="9"/>
  <c r="N212" i="9"/>
  <c r="N213" i="9" s="1"/>
  <c r="H213" i="9" l="1"/>
  <c r="H214" i="9" s="1"/>
  <c r="G216" i="10"/>
  <c r="J215" i="10"/>
  <c r="P215" i="10" s="1"/>
  <c r="F218" i="10"/>
  <c r="E805" i="11"/>
  <c r="E214" i="9"/>
  <c r="N214" i="9" s="1"/>
  <c r="I213" i="9"/>
  <c r="I214" i="9" s="1"/>
  <c r="F213" i="9"/>
  <c r="G213" i="9"/>
  <c r="K212" i="9"/>
  <c r="P212" i="9" s="1"/>
  <c r="G217" i="10" l="1"/>
  <c r="J216" i="10"/>
  <c r="P216" i="10" s="1"/>
  <c r="F219" i="10"/>
  <c r="K213" i="9"/>
  <c r="P213" i="9" s="1"/>
  <c r="F214" i="9"/>
  <c r="G214" i="9"/>
  <c r="E806" i="11"/>
  <c r="E215" i="9"/>
  <c r="I215" i="9" s="1"/>
  <c r="G218" i="10" l="1"/>
  <c r="J217" i="10"/>
  <c r="P217" i="10" s="1"/>
  <c r="F220" i="10"/>
  <c r="E807" i="11"/>
  <c r="E216" i="9"/>
  <c r="K214" i="9"/>
  <c r="P214" i="9" s="1"/>
  <c r="F215" i="9"/>
  <c r="G215" i="9"/>
  <c r="I216" i="9"/>
  <c r="H215" i="9"/>
  <c r="N215" i="9"/>
  <c r="N216" i="9" s="1"/>
  <c r="H216" i="9" l="1"/>
  <c r="G219" i="10"/>
  <c r="J218" i="10"/>
  <c r="P218" i="10" s="1"/>
  <c r="F221" i="10"/>
  <c r="K215" i="9"/>
  <c r="P215" i="9" s="1"/>
  <c r="F216" i="9"/>
  <c r="G216" i="9"/>
  <c r="E808" i="11"/>
  <c r="E217" i="9"/>
  <c r="G220" i="10" l="1"/>
  <c r="J219" i="10"/>
  <c r="P219" i="10" s="1"/>
  <c r="F222" i="10"/>
  <c r="E809" i="11"/>
  <c r="E218" i="9"/>
  <c r="K216" i="9"/>
  <c r="P216" i="9" s="1"/>
  <c r="F217" i="9"/>
  <c r="G217" i="9"/>
  <c r="H217" i="9"/>
  <c r="H218" i="9" s="1"/>
  <c r="N217" i="9"/>
  <c r="N218" i="9" s="1"/>
  <c r="I217" i="9"/>
  <c r="I218" i="9" s="1"/>
  <c r="G221" i="10" l="1"/>
  <c r="J220" i="10"/>
  <c r="P220" i="10" s="1"/>
  <c r="F223" i="10"/>
  <c r="K217" i="9"/>
  <c r="P217" i="9" s="1"/>
  <c r="F218" i="9"/>
  <c r="G218" i="9"/>
  <c r="E810" i="11"/>
  <c r="E219" i="9"/>
  <c r="G222" i="10" l="1"/>
  <c r="J221" i="10"/>
  <c r="P221" i="10" s="1"/>
  <c r="F224" i="10"/>
  <c r="F219" i="9"/>
  <c r="G219" i="9"/>
  <c r="H219" i="9"/>
  <c r="I219" i="9"/>
  <c r="K218" i="9"/>
  <c r="P218" i="9" s="1"/>
  <c r="E811" i="11"/>
  <c r="E220" i="9"/>
  <c r="N219" i="9"/>
  <c r="N220" i="9" s="1"/>
  <c r="H220" i="9" l="1"/>
  <c r="G223" i="10"/>
  <c r="J222" i="10"/>
  <c r="P222" i="10" s="1"/>
  <c r="F225" i="10"/>
  <c r="F220" i="9"/>
  <c r="G220" i="9"/>
  <c r="I220" i="9"/>
  <c r="E812" i="11"/>
  <c r="E221" i="9"/>
  <c r="N221" i="9" s="1"/>
  <c r="K219" i="9"/>
  <c r="P219" i="9" s="1"/>
  <c r="G224" i="10" l="1"/>
  <c r="J223" i="10"/>
  <c r="P223" i="10" s="1"/>
  <c r="F226" i="10"/>
  <c r="I221" i="9"/>
  <c r="K220" i="9"/>
  <c r="P220" i="9" s="1"/>
  <c r="E813" i="11"/>
  <c r="E222" i="9"/>
  <c r="F221" i="9"/>
  <c r="G221" i="9"/>
  <c r="H221" i="9"/>
  <c r="H222" i="9" s="1"/>
  <c r="I222" i="9" l="1"/>
  <c r="I223" i="9" s="1"/>
  <c r="G225" i="10"/>
  <c r="J224" i="10"/>
  <c r="P224" i="10" s="1"/>
  <c r="F227" i="10"/>
  <c r="K221" i="9"/>
  <c r="P221" i="9" s="1"/>
  <c r="E814" i="11"/>
  <c r="E223" i="9"/>
  <c r="F222" i="9"/>
  <c r="G222" i="9"/>
  <c r="N222" i="9"/>
  <c r="N223" i="9" s="1"/>
  <c r="G226" i="10" l="1"/>
  <c r="J225" i="10"/>
  <c r="P225" i="10" s="1"/>
  <c r="F228" i="10"/>
  <c r="K222" i="9"/>
  <c r="P222" i="9" s="1"/>
  <c r="F223" i="9"/>
  <c r="G223" i="9"/>
  <c r="H223" i="9"/>
  <c r="E815" i="11"/>
  <c r="E224" i="9"/>
  <c r="G227" i="10" l="1"/>
  <c r="J226" i="10"/>
  <c r="P226" i="10" s="1"/>
  <c r="F229" i="10"/>
  <c r="F224" i="9"/>
  <c r="G224" i="9"/>
  <c r="H224" i="9"/>
  <c r="K223" i="9"/>
  <c r="P223" i="9" s="1"/>
  <c r="E816" i="11"/>
  <c r="E225" i="9"/>
  <c r="I224" i="9"/>
  <c r="N224" i="9"/>
  <c r="N225" i="9" s="1"/>
  <c r="H225" i="9" l="1"/>
  <c r="G228" i="10"/>
  <c r="J227" i="10"/>
  <c r="P227" i="10" s="1"/>
  <c r="F230" i="10"/>
  <c r="K224" i="9"/>
  <c r="P224" i="9" s="1"/>
  <c r="F225" i="9"/>
  <c r="G225" i="9"/>
  <c r="E817" i="11"/>
  <c r="E226" i="9"/>
  <c r="N226" i="9" s="1"/>
  <c r="I225" i="9"/>
  <c r="G229" i="10" l="1"/>
  <c r="J228" i="10"/>
  <c r="P228" i="10" s="1"/>
  <c r="F231" i="10"/>
  <c r="I226" i="9"/>
  <c r="E818" i="11"/>
  <c r="E227" i="9"/>
  <c r="K225" i="9"/>
  <c r="P225" i="9" s="1"/>
  <c r="F226" i="9"/>
  <c r="G226" i="9"/>
  <c r="H226" i="9"/>
  <c r="N227" i="9"/>
  <c r="I227" i="9" l="1"/>
  <c r="G230" i="10"/>
  <c r="J229" i="10"/>
  <c r="P229" i="10" s="1"/>
  <c r="F232" i="10"/>
  <c r="K226" i="9"/>
  <c r="P226" i="9" s="1"/>
  <c r="F227" i="9"/>
  <c r="G227" i="9"/>
  <c r="H227" i="9"/>
  <c r="E819" i="11"/>
  <c r="E228" i="9"/>
  <c r="I228" i="9" l="1"/>
  <c r="G231" i="10"/>
  <c r="J230" i="10"/>
  <c r="P230" i="10" s="1"/>
  <c r="F233" i="10"/>
  <c r="K227" i="9"/>
  <c r="P227" i="9" s="1"/>
  <c r="F228" i="9"/>
  <c r="G228" i="9"/>
  <c r="H228" i="9"/>
  <c r="N228" i="9"/>
  <c r="N229" i="9" s="1"/>
  <c r="E820" i="11"/>
  <c r="E229" i="9"/>
  <c r="I229" i="9" s="1"/>
  <c r="G232" i="10" l="1"/>
  <c r="J231" i="10"/>
  <c r="P231" i="10" s="1"/>
  <c r="F234" i="10"/>
  <c r="F229" i="9"/>
  <c r="G229" i="9"/>
  <c r="H229" i="9"/>
  <c r="K228" i="9"/>
  <c r="P228" i="9" s="1"/>
  <c r="E821" i="11"/>
  <c r="E230" i="9"/>
  <c r="G233" i="10" l="1"/>
  <c r="J232" i="10"/>
  <c r="P232" i="10" s="1"/>
  <c r="F235" i="10"/>
  <c r="E822" i="11"/>
  <c r="E231" i="9"/>
  <c r="I230" i="9"/>
  <c r="H230" i="9"/>
  <c r="H231" i="9" s="1"/>
  <c r="F230" i="9"/>
  <c r="G230" i="9"/>
  <c r="N230" i="9"/>
  <c r="N231" i="9" s="1"/>
  <c r="K229" i="9"/>
  <c r="P229" i="9" s="1"/>
  <c r="I231" i="9" l="1"/>
  <c r="G234" i="10"/>
  <c r="J233" i="10"/>
  <c r="P233" i="10" s="1"/>
  <c r="F236" i="10"/>
  <c r="K230" i="9"/>
  <c r="P230" i="9" s="1"/>
  <c r="F231" i="9"/>
  <c r="G231" i="9"/>
  <c r="E823" i="11"/>
  <c r="E232" i="9"/>
  <c r="N232" i="9" s="1"/>
  <c r="G235" i="10" l="1"/>
  <c r="J234" i="10"/>
  <c r="P234" i="10" s="1"/>
  <c r="F237" i="10"/>
  <c r="K231" i="9"/>
  <c r="P231" i="9" s="1"/>
  <c r="E824" i="11"/>
  <c r="E233" i="9"/>
  <c r="N233" i="9" s="1"/>
  <c r="F232" i="9"/>
  <c r="G232" i="9"/>
  <c r="I232" i="9"/>
  <c r="I233" i="9" s="1"/>
  <c r="H232" i="9"/>
  <c r="H233" i="9" s="1"/>
  <c r="G236" i="10" l="1"/>
  <c r="J235" i="10"/>
  <c r="P235" i="10" s="1"/>
  <c r="F238" i="10"/>
  <c r="K232" i="9"/>
  <c r="P232" i="9" s="1"/>
  <c r="F233" i="9"/>
  <c r="G233" i="9"/>
  <c r="E825" i="11"/>
  <c r="E234" i="9"/>
  <c r="N234" i="9"/>
  <c r="G237" i="10" l="1"/>
  <c r="J236" i="10"/>
  <c r="P236" i="10" s="1"/>
  <c r="F239" i="10"/>
  <c r="I234" i="9"/>
  <c r="F234" i="9"/>
  <c r="G234" i="9"/>
  <c r="H234" i="9"/>
  <c r="K233" i="9"/>
  <c r="P233" i="9" s="1"/>
  <c r="E826" i="11"/>
  <c r="E235" i="9"/>
  <c r="H235" i="9" l="1"/>
  <c r="G238" i="10"/>
  <c r="J237" i="10"/>
  <c r="P237" i="10" s="1"/>
  <c r="F240" i="10"/>
  <c r="F235" i="9"/>
  <c r="G235" i="9"/>
  <c r="N235" i="9"/>
  <c r="N236" i="9" s="1"/>
  <c r="E827" i="11"/>
  <c r="E236" i="9"/>
  <c r="I235" i="9"/>
  <c r="K234" i="9"/>
  <c r="P234" i="9" s="1"/>
  <c r="G239" i="10" l="1"/>
  <c r="J238" i="10"/>
  <c r="P238" i="10" s="1"/>
  <c r="F241" i="10"/>
  <c r="I236" i="9"/>
  <c r="I237" i="9" s="1"/>
  <c r="E828" i="11"/>
  <c r="E237" i="9"/>
  <c r="N237" i="9"/>
  <c r="F236" i="9"/>
  <c r="G236" i="9"/>
  <c r="H236" i="9"/>
  <c r="K235" i="9"/>
  <c r="P235" i="9" s="1"/>
  <c r="G240" i="10" l="1"/>
  <c r="J239" i="10"/>
  <c r="P239" i="10" s="1"/>
  <c r="F242" i="10"/>
  <c r="K236" i="9"/>
  <c r="P236" i="9" s="1"/>
  <c r="F237" i="9"/>
  <c r="G237" i="9"/>
  <c r="H237" i="9"/>
  <c r="E829" i="11"/>
  <c r="E238" i="9"/>
  <c r="I238" i="9" s="1"/>
  <c r="G241" i="10" l="1"/>
  <c r="J240" i="10"/>
  <c r="P240" i="10" s="1"/>
  <c r="F243" i="10"/>
  <c r="F238" i="9"/>
  <c r="G238" i="9"/>
  <c r="H238" i="9"/>
  <c r="K237" i="9"/>
  <c r="P237" i="9" s="1"/>
  <c r="E830" i="11"/>
  <c r="E239" i="9"/>
  <c r="I239" i="9" s="1"/>
  <c r="N238" i="9"/>
  <c r="N239" i="9" s="1"/>
  <c r="G242" i="10" l="1"/>
  <c r="J241" i="10"/>
  <c r="P241" i="10" s="1"/>
  <c r="F244" i="10"/>
  <c r="F239" i="9"/>
  <c r="G239" i="9"/>
  <c r="H239" i="9"/>
  <c r="E831" i="11"/>
  <c r="E240" i="9"/>
  <c r="K238" i="9"/>
  <c r="P238" i="9" s="1"/>
  <c r="H240" i="9" l="1"/>
  <c r="H241" i="9" s="1"/>
  <c r="G243" i="10"/>
  <c r="J242" i="10"/>
  <c r="P242" i="10" s="1"/>
  <c r="F245" i="10"/>
  <c r="N240" i="9"/>
  <c r="N241" i="9" s="1"/>
  <c r="E832" i="11"/>
  <c r="E241" i="9"/>
  <c r="F240" i="9"/>
  <c r="G240" i="9"/>
  <c r="I240" i="9"/>
  <c r="I241" i="9" s="1"/>
  <c r="K239" i="9"/>
  <c r="P239" i="9" s="1"/>
  <c r="G244" i="10" l="1"/>
  <c r="J243" i="10"/>
  <c r="P243" i="10" s="1"/>
  <c r="F246" i="10"/>
  <c r="K240" i="9"/>
  <c r="P240" i="9" s="1"/>
  <c r="F241" i="9"/>
  <c r="G241" i="9"/>
  <c r="E833" i="11"/>
  <c r="E242" i="9"/>
  <c r="N242" i="9" s="1"/>
  <c r="G245" i="10" l="1"/>
  <c r="J244" i="10"/>
  <c r="P244" i="10" s="1"/>
  <c r="F247" i="10"/>
  <c r="I242" i="9"/>
  <c r="I243" i="9" s="1"/>
  <c r="E834" i="11"/>
  <c r="E243" i="9"/>
  <c r="K241" i="9"/>
  <c r="P241" i="9" s="1"/>
  <c r="F242" i="9"/>
  <c r="G242" i="9"/>
  <c r="H242" i="9"/>
  <c r="H243" i="9" s="1"/>
  <c r="N243" i="9"/>
  <c r="G246" i="10" l="1"/>
  <c r="J245" i="10"/>
  <c r="P245" i="10" s="1"/>
  <c r="F248" i="10"/>
  <c r="K242" i="9"/>
  <c r="P242" i="9" s="1"/>
  <c r="F243" i="9"/>
  <c r="G243" i="9"/>
  <c r="E835" i="11"/>
  <c r="E244" i="9"/>
  <c r="I244" i="9" s="1"/>
  <c r="G247" i="10" l="1"/>
  <c r="J246" i="10"/>
  <c r="P246" i="10" s="1"/>
  <c r="F249" i="10"/>
  <c r="F244" i="9"/>
  <c r="G244" i="9"/>
  <c r="H244" i="9"/>
  <c r="K243" i="9"/>
  <c r="P243" i="9" s="1"/>
  <c r="E836" i="11"/>
  <c r="E245" i="9"/>
  <c r="I245" i="9" s="1"/>
  <c r="N244" i="9"/>
  <c r="N245" i="9" s="1"/>
  <c r="H245" i="9" l="1"/>
  <c r="G248" i="10"/>
  <c r="J247" i="10"/>
  <c r="P247" i="10" s="1"/>
  <c r="F250" i="10"/>
  <c r="F245" i="9"/>
  <c r="G245" i="9"/>
  <c r="E837" i="11"/>
  <c r="E246" i="9"/>
  <c r="K244" i="9"/>
  <c r="P244" i="9" s="1"/>
  <c r="G249" i="10" l="1"/>
  <c r="J248" i="10"/>
  <c r="P248" i="10" s="1"/>
  <c r="F251" i="10"/>
  <c r="H246" i="9"/>
  <c r="F246" i="9"/>
  <c r="G246" i="9"/>
  <c r="K245" i="9"/>
  <c r="P245" i="9" s="1"/>
  <c r="E838" i="11"/>
  <c r="E247" i="9"/>
  <c r="I246" i="9"/>
  <c r="N246" i="9"/>
  <c r="N247" i="9" s="1"/>
  <c r="G250" i="10" l="1"/>
  <c r="J249" i="10"/>
  <c r="P249" i="10" s="1"/>
  <c r="F252" i="10"/>
  <c r="E839" i="11"/>
  <c r="E248" i="9"/>
  <c r="H247" i="9"/>
  <c r="K246" i="9"/>
  <c r="P246" i="9" s="1"/>
  <c r="N248" i="9"/>
  <c r="F247" i="9"/>
  <c r="G247" i="9"/>
  <c r="I247" i="9"/>
  <c r="I248" i="9" s="1"/>
  <c r="H248" i="9" l="1"/>
  <c r="G251" i="10"/>
  <c r="J250" i="10"/>
  <c r="P250" i="10" s="1"/>
  <c r="F253" i="10"/>
  <c r="K247" i="9"/>
  <c r="P247" i="9" s="1"/>
  <c r="F248" i="9"/>
  <c r="G248" i="9"/>
  <c r="E840" i="11"/>
  <c r="E249" i="9"/>
  <c r="N249" i="9"/>
  <c r="G252" i="10" l="1"/>
  <c r="J251" i="10"/>
  <c r="P251" i="10" s="1"/>
  <c r="F254" i="10"/>
  <c r="F249" i="9"/>
  <c r="G249" i="9"/>
  <c r="I249" i="9"/>
  <c r="H249" i="9"/>
  <c r="K248" i="9"/>
  <c r="P248" i="9" s="1"/>
  <c r="E841" i="11"/>
  <c r="E250" i="9"/>
  <c r="N250" i="9" s="1"/>
  <c r="G253" i="10" l="1"/>
  <c r="J252" i="10"/>
  <c r="P252" i="10" s="1"/>
  <c r="F255" i="10"/>
  <c r="I250" i="9"/>
  <c r="K249" i="9"/>
  <c r="P249" i="9" s="1"/>
  <c r="F250" i="9"/>
  <c r="G250" i="9"/>
  <c r="E842" i="11"/>
  <c r="E251" i="9"/>
  <c r="H250" i="9"/>
  <c r="G254" i="10" l="1"/>
  <c r="J253" i="10"/>
  <c r="P253" i="10" s="1"/>
  <c r="F256" i="10"/>
  <c r="E843" i="11"/>
  <c r="E252" i="9"/>
  <c r="I251" i="9"/>
  <c r="F251" i="9"/>
  <c r="G251" i="9"/>
  <c r="K250" i="9"/>
  <c r="P250" i="9" s="1"/>
  <c r="H251" i="9"/>
  <c r="N251" i="9"/>
  <c r="G255" i="10" l="1"/>
  <c r="J254" i="10"/>
  <c r="P254" i="10" s="1"/>
  <c r="F257" i="10"/>
  <c r="N252" i="9"/>
  <c r="H252" i="9"/>
  <c r="I252" i="9"/>
  <c r="K251" i="9"/>
  <c r="P251" i="9" s="1"/>
  <c r="F252" i="9"/>
  <c r="G252" i="9"/>
  <c r="E844" i="11"/>
  <c r="E253" i="9"/>
  <c r="G256" i="10" l="1"/>
  <c r="J255" i="10"/>
  <c r="P255" i="10" s="1"/>
  <c r="F258" i="10"/>
  <c r="F253" i="9"/>
  <c r="G253" i="9"/>
  <c r="H253" i="9"/>
  <c r="K252" i="9"/>
  <c r="P252" i="9" s="1"/>
  <c r="I253" i="9"/>
  <c r="N253" i="9"/>
  <c r="N254" i="9" s="1"/>
  <c r="E845" i="11"/>
  <c r="E254" i="9"/>
  <c r="G257" i="10" l="1"/>
  <c r="J256" i="10"/>
  <c r="P256" i="10" s="1"/>
  <c r="F259" i="10"/>
  <c r="F254" i="9"/>
  <c r="G254" i="9"/>
  <c r="E846" i="11"/>
  <c r="E255" i="9"/>
  <c r="I254" i="9"/>
  <c r="H254" i="9"/>
  <c r="K253" i="9"/>
  <c r="P253" i="9" s="1"/>
  <c r="G258" i="10" l="1"/>
  <c r="J257" i="10"/>
  <c r="P257" i="10" s="1"/>
  <c r="F260" i="10"/>
  <c r="H255" i="9"/>
  <c r="N255" i="9"/>
  <c r="I255" i="9"/>
  <c r="F255" i="9"/>
  <c r="G255" i="9"/>
  <c r="E847" i="11"/>
  <c r="E256" i="9"/>
  <c r="K254" i="9"/>
  <c r="P254" i="9" s="1"/>
  <c r="I256" i="9" l="1"/>
  <c r="I257" i="9" s="1"/>
  <c r="G259" i="10"/>
  <c r="J258" i="10"/>
  <c r="P258" i="10" s="1"/>
  <c r="F261" i="10"/>
  <c r="H256" i="9"/>
  <c r="N256" i="9"/>
  <c r="N257" i="9" s="1"/>
  <c r="F256" i="9"/>
  <c r="G256" i="9"/>
  <c r="K255" i="9"/>
  <c r="P255" i="9" s="1"/>
  <c r="E848" i="11"/>
  <c r="E257" i="9"/>
  <c r="G260" i="10" l="1"/>
  <c r="J259" i="10"/>
  <c r="P259" i="10" s="1"/>
  <c r="F262" i="10"/>
  <c r="H257" i="9"/>
  <c r="F257" i="9"/>
  <c r="G257" i="9"/>
  <c r="E849" i="11"/>
  <c r="E258" i="9"/>
  <c r="K256" i="9"/>
  <c r="P256" i="9" s="1"/>
  <c r="G261" i="10" l="1"/>
  <c r="J260" i="10"/>
  <c r="P260" i="10" s="1"/>
  <c r="F263" i="10"/>
  <c r="K257" i="9"/>
  <c r="P257" i="9" s="1"/>
  <c r="E850" i="11"/>
  <c r="E259" i="9"/>
  <c r="F258" i="9"/>
  <c r="G258" i="9"/>
  <c r="I258" i="9"/>
  <c r="I259" i="9" s="1"/>
  <c r="N258" i="9"/>
  <c r="N259" i="9" s="1"/>
  <c r="H258" i="9"/>
  <c r="H259" i="9" s="1"/>
  <c r="G262" i="10" l="1"/>
  <c r="J261" i="10"/>
  <c r="P261" i="10" s="1"/>
  <c r="F264" i="10"/>
  <c r="K258" i="9"/>
  <c r="P258" i="9" s="1"/>
  <c r="F259" i="9"/>
  <c r="G259" i="9"/>
  <c r="E851" i="11"/>
  <c r="E260" i="9"/>
  <c r="I260" i="9" s="1"/>
  <c r="N260" i="9"/>
  <c r="G263" i="10" l="1"/>
  <c r="J262" i="10"/>
  <c r="P262" i="10" s="1"/>
  <c r="F265" i="10"/>
  <c r="F260" i="9"/>
  <c r="G260" i="9"/>
  <c r="H260" i="9"/>
  <c r="E852" i="11"/>
  <c r="E261" i="9"/>
  <c r="K259" i="9"/>
  <c r="P259" i="9" s="1"/>
  <c r="G264" i="10" l="1"/>
  <c r="J263" i="10"/>
  <c r="P263" i="10" s="1"/>
  <c r="F266" i="10"/>
  <c r="E853" i="11"/>
  <c r="E262" i="9"/>
  <c r="N261" i="9"/>
  <c r="N262" i="9" s="1"/>
  <c r="H261" i="9"/>
  <c r="H262" i="9" s="1"/>
  <c r="I261" i="9"/>
  <c r="I262" i="9" s="1"/>
  <c r="F261" i="9"/>
  <c r="G261" i="9"/>
  <c r="K260" i="9"/>
  <c r="P260" i="9" s="1"/>
  <c r="G265" i="10" l="1"/>
  <c r="J264" i="10"/>
  <c r="P264" i="10" s="1"/>
  <c r="F267" i="10"/>
  <c r="K261" i="9"/>
  <c r="P261" i="9" s="1"/>
  <c r="F262" i="9"/>
  <c r="G262" i="9"/>
  <c r="E854" i="11"/>
  <c r="E263" i="9"/>
  <c r="G266" i="10" l="1"/>
  <c r="J265" i="10"/>
  <c r="P265" i="10" s="1"/>
  <c r="F268" i="10"/>
  <c r="E855" i="11"/>
  <c r="E264" i="9"/>
  <c r="N263" i="9"/>
  <c r="N264" i="9" s="1"/>
  <c r="F263" i="9"/>
  <c r="G263" i="9"/>
  <c r="I263" i="9"/>
  <c r="I264" i="9" s="1"/>
  <c r="H263" i="9"/>
  <c r="H264" i="9" s="1"/>
  <c r="K262" i="9"/>
  <c r="P262" i="9" s="1"/>
  <c r="G267" i="10" l="1"/>
  <c r="J266" i="10"/>
  <c r="P266" i="10" s="1"/>
  <c r="F269" i="10"/>
  <c r="F264" i="9"/>
  <c r="G264" i="9"/>
  <c r="E856" i="11"/>
  <c r="E265" i="9"/>
  <c r="I265" i="9" s="1"/>
  <c r="K263" i="9"/>
  <c r="P263" i="9" s="1"/>
  <c r="G268" i="10" l="1"/>
  <c r="J267" i="10"/>
  <c r="P267" i="10" s="1"/>
  <c r="F270" i="10"/>
  <c r="F265" i="9"/>
  <c r="G265" i="9"/>
  <c r="H265" i="9"/>
  <c r="K264" i="9"/>
  <c r="P264" i="9" s="1"/>
  <c r="E857" i="11"/>
  <c r="E266" i="9"/>
  <c r="N265" i="9"/>
  <c r="N266" i="9" s="1"/>
  <c r="G269" i="10" l="1"/>
  <c r="J268" i="10"/>
  <c r="P268" i="10" s="1"/>
  <c r="F271" i="10"/>
  <c r="F266" i="9"/>
  <c r="G266" i="9"/>
  <c r="H266" i="9"/>
  <c r="E858" i="11"/>
  <c r="E267" i="9"/>
  <c r="I266" i="9"/>
  <c r="K265" i="9"/>
  <c r="P265" i="9" s="1"/>
  <c r="G270" i="10" l="1"/>
  <c r="J269" i="10"/>
  <c r="P269" i="10" s="1"/>
  <c r="F272" i="10"/>
  <c r="F267" i="9"/>
  <c r="G267" i="9"/>
  <c r="I267" i="9"/>
  <c r="H267" i="9"/>
  <c r="K266" i="9"/>
  <c r="P266" i="9" s="1"/>
  <c r="N267" i="9"/>
  <c r="E859" i="11"/>
  <c r="E268" i="9"/>
  <c r="G271" i="10" l="1"/>
  <c r="J270" i="10"/>
  <c r="P270" i="10" s="1"/>
  <c r="F273" i="10"/>
  <c r="N268" i="9"/>
  <c r="F268" i="9"/>
  <c r="G268" i="9"/>
  <c r="H268" i="9"/>
  <c r="E860" i="11"/>
  <c r="E269" i="9"/>
  <c r="I268" i="9"/>
  <c r="K267" i="9"/>
  <c r="P267" i="9" s="1"/>
  <c r="G272" i="10" l="1"/>
  <c r="J271" i="10"/>
  <c r="P271" i="10" s="1"/>
  <c r="F274" i="10"/>
  <c r="E861" i="11"/>
  <c r="E270" i="9"/>
  <c r="F269" i="9"/>
  <c r="G269" i="9"/>
  <c r="I269" i="9"/>
  <c r="I270" i="9" s="1"/>
  <c r="H269" i="9"/>
  <c r="H270" i="9" s="1"/>
  <c r="K268" i="9"/>
  <c r="P268" i="9" s="1"/>
  <c r="N269" i="9"/>
  <c r="N270" i="9" s="1"/>
  <c r="G273" i="10" l="1"/>
  <c r="J272" i="10"/>
  <c r="P272" i="10" s="1"/>
  <c r="F275" i="10"/>
  <c r="K269" i="9"/>
  <c r="P269" i="9" s="1"/>
  <c r="F270" i="9"/>
  <c r="G270" i="9"/>
  <c r="E862" i="11"/>
  <c r="E271" i="9"/>
  <c r="N271" i="9" s="1"/>
  <c r="G274" i="10" l="1"/>
  <c r="J273" i="10"/>
  <c r="P273" i="10" s="1"/>
  <c r="F276" i="10"/>
  <c r="I271" i="9"/>
  <c r="I272" i="9" s="1"/>
  <c r="K270" i="9"/>
  <c r="P270" i="9" s="1"/>
  <c r="E863" i="11"/>
  <c r="E272" i="9"/>
  <c r="N272" i="9" s="1"/>
  <c r="F271" i="9"/>
  <c r="G271" i="9"/>
  <c r="H271" i="9"/>
  <c r="H272" i="9" s="1"/>
  <c r="G275" i="10" l="1"/>
  <c r="J274" i="10"/>
  <c r="P274" i="10" s="1"/>
  <c r="F277" i="10"/>
  <c r="K271" i="9"/>
  <c r="P271" i="9" s="1"/>
  <c r="F272" i="9"/>
  <c r="G272" i="9"/>
  <c r="E864" i="11"/>
  <c r="E273" i="9"/>
  <c r="G276" i="10" l="1"/>
  <c r="J275" i="10"/>
  <c r="P275" i="10" s="1"/>
  <c r="F278" i="10"/>
  <c r="N273" i="9"/>
  <c r="F273" i="9"/>
  <c r="G273" i="9"/>
  <c r="H273" i="9"/>
  <c r="I273" i="9"/>
  <c r="K272" i="9"/>
  <c r="P272" i="9" s="1"/>
  <c r="E865" i="11"/>
  <c r="E274" i="9"/>
  <c r="H274" i="9" l="1"/>
  <c r="G277" i="10"/>
  <c r="J276" i="10"/>
  <c r="P276" i="10" s="1"/>
  <c r="F279" i="10"/>
  <c r="N274" i="9"/>
  <c r="F274" i="9"/>
  <c r="G274" i="9"/>
  <c r="E866" i="11"/>
  <c r="E275" i="9"/>
  <c r="I274" i="9"/>
  <c r="K273" i="9"/>
  <c r="P273" i="9" s="1"/>
  <c r="G278" i="10" l="1"/>
  <c r="J277" i="10"/>
  <c r="P277" i="10" s="1"/>
  <c r="F280" i="10"/>
  <c r="K274" i="9"/>
  <c r="P274" i="9" s="1"/>
  <c r="F275" i="9"/>
  <c r="G275" i="9"/>
  <c r="H275" i="9"/>
  <c r="H276" i="9" s="1"/>
  <c r="N275" i="9"/>
  <c r="N276" i="9" s="1"/>
  <c r="E867" i="11"/>
  <c r="E276" i="9"/>
  <c r="I275" i="9"/>
  <c r="G279" i="10" l="1"/>
  <c r="J278" i="10"/>
  <c r="P278" i="10" s="1"/>
  <c r="F281" i="10"/>
  <c r="K275" i="9"/>
  <c r="P275" i="9" s="1"/>
  <c r="F276" i="9"/>
  <c r="G276" i="9"/>
  <c r="E868" i="11"/>
  <c r="E277" i="9"/>
  <c r="I276" i="9"/>
  <c r="I277" i="9" l="1"/>
  <c r="G280" i="10"/>
  <c r="J279" i="10"/>
  <c r="P279" i="10" s="1"/>
  <c r="F282" i="10"/>
  <c r="F277" i="9"/>
  <c r="G277" i="9"/>
  <c r="H277" i="9"/>
  <c r="K276" i="9"/>
  <c r="P276" i="9" s="1"/>
  <c r="E869" i="11"/>
  <c r="E278" i="9"/>
  <c r="I278" i="9" s="1"/>
  <c r="N277" i="9"/>
  <c r="N278" i="9" s="1"/>
  <c r="G281" i="10" l="1"/>
  <c r="J280" i="10"/>
  <c r="P280" i="10" s="1"/>
  <c r="F283" i="10"/>
  <c r="F278" i="9"/>
  <c r="G278" i="9"/>
  <c r="H278" i="9"/>
  <c r="E870" i="11"/>
  <c r="E279" i="9"/>
  <c r="K277" i="9"/>
  <c r="P277" i="9" s="1"/>
  <c r="G282" i="10" l="1"/>
  <c r="J281" i="10"/>
  <c r="P281" i="10" s="1"/>
  <c r="F284" i="10"/>
  <c r="F279" i="9"/>
  <c r="G279" i="9"/>
  <c r="I279" i="9"/>
  <c r="E871" i="11"/>
  <c r="E280" i="9"/>
  <c r="K278" i="9"/>
  <c r="P278" i="9" s="1"/>
  <c r="H279" i="9"/>
  <c r="N279" i="9"/>
  <c r="N280" i="9" s="1"/>
  <c r="G283" i="10" l="1"/>
  <c r="J282" i="10"/>
  <c r="P282" i="10" s="1"/>
  <c r="F285" i="10"/>
  <c r="E872" i="11"/>
  <c r="E281" i="9"/>
  <c r="F280" i="9"/>
  <c r="G280" i="9"/>
  <c r="H280" i="9"/>
  <c r="H281" i="9" s="1"/>
  <c r="I280" i="9"/>
  <c r="I281" i="9" s="1"/>
  <c r="K279" i="9"/>
  <c r="P279" i="9" s="1"/>
  <c r="G284" i="10" l="1"/>
  <c r="J283" i="10"/>
  <c r="P283" i="10" s="1"/>
  <c r="F286" i="10"/>
  <c r="F281" i="9"/>
  <c r="G281" i="9"/>
  <c r="E873" i="11"/>
  <c r="E282" i="9"/>
  <c r="K280" i="9"/>
  <c r="P280" i="9" s="1"/>
  <c r="N281" i="9"/>
  <c r="N282" i="9" s="1"/>
  <c r="G285" i="10" l="1"/>
  <c r="J284" i="10"/>
  <c r="P284" i="10" s="1"/>
  <c r="F287" i="10"/>
  <c r="N283" i="9"/>
  <c r="E874" i="11"/>
  <c r="E283" i="9"/>
  <c r="F282" i="9"/>
  <c r="G282" i="9"/>
  <c r="H282" i="9"/>
  <c r="H283" i="9" s="1"/>
  <c r="I282" i="9"/>
  <c r="I283" i="9" s="1"/>
  <c r="K281" i="9"/>
  <c r="P281" i="9" s="1"/>
  <c r="G286" i="10" l="1"/>
  <c r="J285" i="10"/>
  <c r="P285" i="10" s="1"/>
  <c r="F288" i="10"/>
  <c r="F283" i="9"/>
  <c r="G283" i="9"/>
  <c r="E875" i="11"/>
  <c r="E284" i="9"/>
  <c r="K282" i="9"/>
  <c r="P282" i="9" s="1"/>
  <c r="N284" i="9"/>
  <c r="G287" i="10" l="1"/>
  <c r="J286" i="10"/>
  <c r="P286" i="10" s="1"/>
  <c r="F289" i="10"/>
  <c r="F284" i="9"/>
  <c r="G284" i="9"/>
  <c r="I284" i="9"/>
  <c r="H284" i="9"/>
  <c r="E876" i="11"/>
  <c r="E285" i="9"/>
  <c r="N285" i="9" s="1"/>
  <c r="K283" i="9"/>
  <c r="P283" i="9" s="1"/>
  <c r="I285" i="9" l="1"/>
  <c r="G288" i="10"/>
  <c r="J287" i="10"/>
  <c r="P287" i="10" s="1"/>
  <c r="F290" i="10"/>
  <c r="F285" i="9"/>
  <c r="G285" i="9"/>
  <c r="E877" i="11"/>
  <c r="E286" i="9"/>
  <c r="N286" i="9" s="1"/>
  <c r="H285" i="9"/>
  <c r="H286" i="9" s="1"/>
  <c r="K284" i="9"/>
  <c r="P284" i="9" s="1"/>
  <c r="G289" i="10" l="1"/>
  <c r="J288" i="10"/>
  <c r="P288" i="10" s="1"/>
  <c r="F291" i="10"/>
  <c r="F286" i="9"/>
  <c r="G286" i="9"/>
  <c r="E878" i="11"/>
  <c r="E287" i="9"/>
  <c r="H287" i="9" s="1"/>
  <c r="I286" i="9"/>
  <c r="I287" i="9" s="1"/>
  <c r="K285" i="9"/>
  <c r="P285" i="9" s="1"/>
  <c r="G290" i="10" l="1"/>
  <c r="J289" i="10"/>
  <c r="P289" i="10" s="1"/>
  <c r="F292" i="10"/>
  <c r="F287" i="9"/>
  <c r="G287" i="9"/>
  <c r="K286" i="9"/>
  <c r="P286" i="9" s="1"/>
  <c r="E879" i="11"/>
  <c r="E288" i="9"/>
  <c r="H288" i="9" s="1"/>
  <c r="N287" i="9"/>
  <c r="N288" i="9" s="1"/>
  <c r="G291" i="10" l="1"/>
  <c r="J290" i="10"/>
  <c r="P290" i="10" s="1"/>
  <c r="F293" i="10"/>
  <c r="E880" i="11"/>
  <c r="E289" i="9"/>
  <c r="N289" i="9" s="1"/>
  <c r="F288" i="9"/>
  <c r="G288" i="9"/>
  <c r="H289" i="9"/>
  <c r="I288" i="9"/>
  <c r="I289" i="9" s="1"/>
  <c r="K287" i="9"/>
  <c r="P287" i="9" s="1"/>
  <c r="G292" i="10" l="1"/>
  <c r="J291" i="10"/>
  <c r="P291" i="10" s="1"/>
  <c r="F294" i="10"/>
  <c r="K288" i="9"/>
  <c r="P288" i="9" s="1"/>
  <c r="F289" i="9"/>
  <c r="G289" i="9"/>
  <c r="E881" i="11"/>
  <c r="E290" i="9"/>
  <c r="G293" i="10" l="1"/>
  <c r="J292" i="10"/>
  <c r="P292" i="10" s="1"/>
  <c r="F295" i="10"/>
  <c r="F290" i="9"/>
  <c r="G290" i="9"/>
  <c r="H290" i="9"/>
  <c r="K289" i="9"/>
  <c r="P289" i="9" s="1"/>
  <c r="E882" i="11"/>
  <c r="E291" i="9"/>
  <c r="N290" i="9"/>
  <c r="N291" i="9" s="1"/>
  <c r="I290" i="9"/>
  <c r="H291" i="9" l="1"/>
  <c r="G294" i="10"/>
  <c r="J293" i="10"/>
  <c r="P293" i="10" s="1"/>
  <c r="F296" i="10"/>
  <c r="F291" i="9"/>
  <c r="G291" i="9"/>
  <c r="I291" i="9"/>
  <c r="E883" i="11"/>
  <c r="E292" i="9"/>
  <c r="K290" i="9"/>
  <c r="P290" i="9" s="1"/>
  <c r="G295" i="10" l="1"/>
  <c r="J294" i="10"/>
  <c r="P294" i="10" s="1"/>
  <c r="F297" i="10"/>
  <c r="E884" i="11"/>
  <c r="E293" i="9"/>
  <c r="K291" i="9"/>
  <c r="P291" i="9" s="1"/>
  <c r="F292" i="9"/>
  <c r="G292" i="9"/>
  <c r="H292" i="9"/>
  <c r="I292" i="9"/>
  <c r="N292" i="9"/>
  <c r="N293" i="9" s="1"/>
  <c r="I293" i="9" l="1"/>
  <c r="G296" i="10"/>
  <c r="J295" i="10"/>
  <c r="P295" i="10" s="1"/>
  <c r="F298" i="10"/>
  <c r="F293" i="9"/>
  <c r="G293" i="9"/>
  <c r="H293" i="9"/>
  <c r="E885" i="11"/>
  <c r="E294" i="9"/>
  <c r="N294" i="9" s="1"/>
  <c r="K292" i="9"/>
  <c r="P292" i="9" s="1"/>
  <c r="G297" i="10" l="1"/>
  <c r="J296" i="10"/>
  <c r="P296" i="10" s="1"/>
  <c r="F299" i="10"/>
  <c r="F294" i="9"/>
  <c r="G294" i="9"/>
  <c r="H294" i="9"/>
  <c r="I294" i="9"/>
  <c r="E886" i="11"/>
  <c r="E295" i="9"/>
  <c r="N295" i="9" s="1"/>
  <c r="K293" i="9"/>
  <c r="P293" i="9" s="1"/>
  <c r="G298" i="10" l="1"/>
  <c r="J297" i="10"/>
  <c r="P297" i="10" s="1"/>
  <c r="F300" i="10"/>
  <c r="N296" i="9"/>
  <c r="E887" i="11"/>
  <c r="E296" i="9"/>
  <c r="F295" i="9"/>
  <c r="G295" i="9"/>
  <c r="H295" i="9"/>
  <c r="H296" i="9" s="1"/>
  <c r="I295" i="9"/>
  <c r="I296" i="9" s="1"/>
  <c r="K294" i="9"/>
  <c r="P294" i="9" s="1"/>
  <c r="G299" i="10" l="1"/>
  <c r="J298" i="10"/>
  <c r="P298" i="10" s="1"/>
  <c r="F301" i="10"/>
  <c r="K295" i="9"/>
  <c r="P295" i="9" s="1"/>
  <c r="F296" i="9"/>
  <c r="G296" i="9"/>
  <c r="E888" i="11"/>
  <c r="E297" i="9"/>
  <c r="N297" i="9"/>
  <c r="G300" i="10" l="1"/>
  <c r="J299" i="10"/>
  <c r="P299" i="10" s="1"/>
  <c r="F302" i="10"/>
  <c r="E889" i="11"/>
  <c r="E298" i="9"/>
  <c r="K296" i="9"/>
  <c r="P296" i="9" s="1"/>
  <c r="N298" i="9"/>
  <c r="F297" i="9"/>
  <c r="G297" i="9"/>
  <c r="H297" i="9"/>
  <c r="I297" i="9"/>
  <c r="I298" i="9" s="1"/>
  <c r="H298" i="9" l="1"/>
  <c r="G301" i="10"/>
  <c r="J300" i="10"/>
  <c r="P300" i="10" s="1"/>
  <c r="F303" i="10"/>
  <c r="K297" i="9"/>
  <c r="P297" i="9" s="1"/>
  <c r="F298" i="9"/>
  <c r="G298" i="9"/>
  <c r="E890" i="11"/>
  <c r="E299" i="9"/>
  <c r="G302" i="10" l="1"/>
  <c r="J301" i="10"/>
  <c r="P301" i="10" s="1"/>
  <c r="F304" i="10"/>
  <c r="F299" i="9"/>
  <c r="G299" i="9"/>
  <c r="H299" i="9"/>
  <c r="K298" i="9"/>
  <c r="P298" i="9" s="1"/>
  <c r="E891" i="11"/>
  <c r="E300" i="9"/>
  <c r="I299" i="9"/>
  <c r="N299" i="9"/>
  <c r="N300" i="9" s="1"/>
  <c r="G303" i="10" l="1"/>
  <c r="J302" i="10"/>
  <c r="P302" i="10" s="1"/>
  <c r="F305" i="10"/>
  <c r="F300" i="9"/>
  <c r="G300" i="9"/>
  <c r="E892" i="11"/>
  <c r="E301" i="9"/>
  <c r="I300" i="9"/>
  <c r="H300" i="9"/>
  <c r="K299" i="9"/>
  <c r="P299" i="9" s="1"/>
  <c r="G304" i="10" l="1"/>
  <c r="J303" i="10"/>
  <c r="P303" i="10" s="1"/>
  <c r="F306" i="10"/>
  <c r="I301" i="9"/>
  <c r="I302" i="9" s="1"/>
  <c r="E893" i="11"/>
  <c r="E302" i="9"/>
  <c r="N301" i="9"/>
  <c r="N302" i="9" s="1"/>
  <c r="F301" i="9"/>
  <c r="G301" i="9"/>
  <c r="H301" i="9"/>
  <c r="H302" i="9" s="1"/>
  <c r="K300" i="9"/>
  <c r="P300" i="9" s="1"/>
  <c r="G305" i="10" l="1"/>
  <c r="J304" i="10"/>
  <c r="P304" i="10" s="1"/>
  <c r="F307" i="10"/>
  <c r="K301" i="9"/>
  <c r="P301" i="9" s="1"/>
  <c r="F302" i="9"/>
  <c r="G302" i="9"/>
  <c r="E894" i="11"/>
  <c r="E303" i="9"/>
  <c r="G306" i="10" l="1"/>
  <c r="J305" i="10"/>
  <c r="P305" i="10" s="1"/>
  <c r="F308" i="10"/>
  <c r="F303" i="9"/>
  <c r="G303" i="9"/>
  <c r="H303" i="9"/>
  <c r="K302" i="9"/>
  <c r="P302" i="9" s="1"/>
  <c r="E895" i="11"/>
  <c r="E304" i="9"/>
  <c r="I303" i="9"/>
  <c r="N303" i="9"/>
  <c r="N304" i="9" s="1"/>
  <c r="H304" i="9" l="1"/>
  <c r="G307" i="10"/>
  <c r="J306" i="10"/>
  <c r="P306" i="10" s="1"/>
  <c r="F309" i="10"/>
  <c r="F304" i="9"/>
  <c r="G304" i="9"/>
  <c r="I304" i="9"/>
  <c r="E896" i="11"/>
  <c r="E305" i="9"/>
  <c r="N305" i="9"/>
  <c r="K303" i="9"/>
  <c r="P303" i="9" s="1"/>
  <c r="H305" i="9" l="1"/>
  <c r="G308" i="10"/>
  <c r="J307" i="10"/>
  <c r="P307" i="10" s="1"/>
  <c r="F310" i="10"/>
  <c r="E897" i="11"/>
  <c r="E306" i="9"/>
  <c r="K304" i="9"/>
  <c r="P304" i="9" s="1"/>
  <c r="F305" i="9"/>
  <c r="G305" i="9"/>
  <c r="I305" i="9"/>
  <c r="I306" i="9" s="1"/>
  <c r="H306" i="9" l="1"/>
  <c r="N306" i="9"/>
  <c r="G309" i="10"/>
  <c r="J308" i="10"/>
  <c r="P308" i="10" s="1"/>
  <c r="F311" i="10"/>
  <c r="K305" i="9"/>
  <c r="P305" i="9" s="1"/>
  <c r="F306" i="9"/>
  <c r="G306" i="9"/>
  <c r="E898" i="11"/>
  <c r="E307" i="9"/>
  <c r="I307" i="9" s="1"/>
  <c r="G310" i="10" l="1"/>
  <c r="J309" i="10"/>
  <c r="P309" i="10" s="1"/>
  <c r="F312" i="10"/>
  <c r="E899" i="11"/>
  <c r="E308" i="9"/>
  <c r="N307" i="9"/>
  <c r="N308" i="9" s="1"/>
  <c r="F307" i="9"/>
  <c r="G307" i="9"/>
  <c r="I308" i="9"/>
  <c r="H307" i="9"/>
  <c r="H308" i="9" s="1"/>
  <c r="K306" i="9"/>
  <c r="P306" i="9" s="1"/>
  <c r="G311" i="10" l="1"/>
  <c r="J310" i="10"/>
  <c r="P310" i="10" s="1"/>
  <c r="F313" i="10"/>
  <c r="F308" i="9"/>
  <c r="G308" i="9"/>
  <c r="E900" i="11"/>
  <c r="E309" i="9"/>
  <c r="K307" i="9"/>
  <c r="P307" i="9" s="1"/>
  <c r="G312" i="10" l="1"/>
  <c r="J311" i="10"/>
  <c r="P311" i="10" s="1"/>
  <c r="F314" i="10"/>
  <c r="E901" i="11"/>
  <c r="E310" i="9"/>
  <c r="F309" i="9"/>
  <c r="G309" i="9"/>
  <c r="H309" i="9"/>
  <c r="H310" i="9" s="1"/>
  <c r="N309" i="9"/>
  <c r="N310" i="9" s="1"/>
  <c r="I309" i="9"/>
  <c r="I310" i="9" s="1"/>
  <c r="K308" i="9"/>
  <c r="P308" i="9" s="1"/>
  <c r="G313" i="10" l="1"/>
  <c r="J312" i="10"/>
  <c r="P312" i="10" s="1"/>
  <c r="F315" i="10"/>
  <c r="K309" i="9"/>
  <c r="P309" i="9" s="1"/>
  <c r="F310" i="9"/>
  <c r="G310" i="9"/>
  <c r="E902" i="11"/>
  <c r="E311" i="9"/>
  <c r="G314" i="10" l="1"/>
  <c r="J313" i="10"/>
  <c r="P313" i="10" s="1"/>
  <c r="F316" i="10"/>
  <c r="F311" i="9"/>
  <c r="G311" i="9"/>
  <c r="H311" i="9"/>
  <c r="K310" i="9"/>
  <c r="P310" i="9" s="1"/>
  <c r="E903" i="11"/>
  <c r="E312" i="9"/>
  <c r="I311" i="9"/>
  <c r="N311" i="9"/>
  <c r="N312" i="9" s="1"/>
  <c r="I312" i="9" l="1"/>
  <c r="G315" i="10"/>
  <c r="J314" i="10"/>
  <c r="P314" i="10" s="1"/>
  <c r="F317" i="10"/>
  <c r="F312" i="9"/>
  <c r="G312" i="9"/>
  <c r="H312" i="9"/>
  <c r="E904" i="11"/>
  <c r="E313" i="9"/>
  <c r="N313" i="9"/>
  <c r="K311" i="9"/>
  <c r="P311" i="9" s="1"/>
  <c r="I313" i="9" l="1"/>
  <c r="G316" i="10"/>
  <c r="J315" i="10"/>
  <c r="P315" i="10" s="1"/>
  <c r="F318" i="10"/>
  <c r="F313" i="9"/>
  <c r="G313" i="9"/>
  <c r="H313" i="9"/>
  <c r="E905" i="11"/>
  <c r="E314" i="9"/>
  <c r="K312" i="9"/>
  <c r="P312" i="9" s="1"/>
  <c r="G317" i="10" l="1"/>
  <c r="J316" i="10"/>
  <c r="P316" i="10" s="1"/>
  <c r="F319" i="10"/>
  <c r="F314" i="9"/>
  <c r="G314" i="9"/>
  <c r="I314" i="9"/>
  <c r="K313" i="9"/>
  <c r="P313" i="9" s="1"/>
  <c r="E906" i="11"/>
  <c r="E315" i="9"/>
  <c r="H314" i="9"/>
  <c r="N314" i="9"/>
  <c r="N315" i="9" s="1"/>
  <c r="G318" i="10" l="1"/>
  <c r="J317" i="10"/>
  <c r="P317" i="10" s="1"/>
  <c r="F320" i="10"/>
  <c r="F315" i="9"/>
  <c r="G315" i="9"/>
  <c r="I315" i="9"/>
  <c r="K314" i="9"/>
  <c r="P314" i="9" s="1"/>
  <c r="E907" i="11"/>
  <c r="E316" i="9"/>
  <c r="N316" i="9" s="1"/>
  <c r="H315" i="9"/>
  <c r="G319" i="10" l="1"/>
  <c r="J318" i="10"/>
  <c r="P318" i="10" s="1"/>
  <c r="F321" i="10"/>
  <c r="K315" i="9"/>
  <c r="P315" i="9" s="1"/>
  <c r="E908" i="11"/>
  <c r="E317" i="9"/>
  <c r="N317" i="9" s="1"/>
  <c r="F316" i="9"/>
  <c r="G316" i="9"/>
  <c r="H316" i="9"/>
  <c r="H317" i="9" s="1"/>
  <c r="I316" i="9"/>
  <c r="I317" i="9" s="1"/>
  <c r="G320" i="10" l="1"/>
  <c r="J319" i="10"/>
  <c r="P319" i="10" s="1"/>
  <c r="F317" i="9"/>
  <c r="G317" i="9"/>
  <c r="E909" i="11"/>
  <c r="E318" i="9"/>
  <c r="K316" i="9"/>
  <c r="P316" i="9" s="1"/>
  <c r="G321" i="10" l="1"/>
  <c r="J321" i="10" s="1"/>
  <c r="P321" i="10" s="1"/>
  <c r="J320" i="10"/>
  <c r="P320" i="10" s="1"/>
  <c r="E910" i="11"/>
  <c r="E319" i="9"/>
  <c r="F318" i="9"/>
  <c r="G318" i="9"/>
  <c r="H318" i="9"/>
  <c r="H319" i="9" s="1"/>
  <c r="N318" i="9"/>
  <c r="N319" i="9" s="1"/>
  <c r="I318" i="9"/>
  <c r="I319" i="9" s="1"/>
  <c r="K317" i="9"/>
  <c r="P317" i="9" s="1"/>
  <c r="K318" i="9" l="1"/>
  <c r="P318" i="9" s="1"/>
  <c r="F319" i="9"/>
  <c r="G319" i="9"/>
  <c r="E911" i="11"/>
  <c r="E321" i="9" s="1"/>
  <c r="E320" i="9"/>
  <c r="N320" i="9" s="1"/>
  <c r="N321" i="9" l="1"/>
  <c r="K319" i="9"/>
  <c r="P319" i="9" s="1"/>
  <c r="F320" i="9"/>
  <c r="G320" i="9"/>
  <c r="G321" i="9" s="1"/>
  <c r="H320" i="9"/>
  <c r="H321" i="9" s="1"/>
  <c r="I320" i="9"/>
  <c r="I321" i="9" s="1"/>
  <c r="K320" i="9" l="1"/>
  <c r="P320" i="9" s="1"/>
  <c r="F321" i="9"/>
  <c r="K321" i="9" s="1"/>
  <c r="P321" i="9" s="1"/>
</calcChain>
</file>

<file path=xl/comments1.xml><?xml version="1.0" encoding="utf-8"?>
<comments xmlns="http://schemas.openxmlformats.org/spreadsheetml/2006/main">
  <authors>
    <author/>
  </authors>
  <commentList>
    <comment ref="I222" authorId="0" shapeId="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<sst xmlns="http://schemas.openxmlformats.org/spreadsheetml/2006/main" count="2722" uniqueCount="1023">
  <si>
    <t>CALCULADORA DE HUELLA DE CARBONO DE ALCANCE 1+2 
PARA ORGANIZACIONES 2020</t>
  </si>
  <si>
    <t>ÍNDICE</t>
  </si>
  <si>
    <t>0.</t>
  </si>
  <si>
    <t>Datos generales de la organización</t>
  </si>
  <si>
    <t>1.</t>
  </si>
  <si>
    <t>Huella de carbono Alcance 1: Combustibles fósiles</t>
  </si>
  <si>
    <t>2.</t>
  </si>
  <si>
    <t>3.</t>
  </si>
  <si>
    <t>Huella de carbono Alcance 1: Emisiones de proceso</t>
  </si>
  <si>
    <t>4.1</t>
  </si>
  <si>
    <t>Huella de carbono Alcance 2: Electricidad registro balear</t>
  </si>
  <si>
    <t>4.2</t>
  </si>
  <si>
    <t>5.</t>
  </si>
  <si>
    <t>Información adicional: Renovables</t>
  </si>
  <si>
    <t>6.1</t>
  </si>
  <si>
    <t>6.2</t>
  </si>
  <si>
    <t xml:space="preserve">                                                                        DATOS GENERALES DE LA ORGANIZACIÓN                                                                             </t>
  </si>
  <si>
    <t>0. Datos de la organización</t>
  </si>
  <si>
    <t>AÑO DE CÁLCULO</t>
  </si>
  <si>
    <t>1. HC Alcance 1: Comb. fósiles</t>
  </si>
  <si>
    <t>2. HC Alcance 1: Fugas fluorados</t>
  </si>
  <si>
    <t>NOMBRE DE LA ORGANIZACIÓN</t>
  </si>
  <si>
    <t>C.I.F. / N.I.F.</t>
  </si>
  <si>
    <t xml:space="preserve">  TIPO DE ORGANIZACIÓN</t>
  </si>
  <si>
    <t>3. HC Alcance 1: Emisiones proceso</t>
  </si>
  <si>
    <t>Mediana</t>
  </si>
  <si>
    <t>4.1 HC 2: Electricidad I. Balears</t>
  </si>
  <si>
    <t>4.2 HC 2: Electricidad España</t>
  </si>
  <si>
    <t>SECTOR</t>
  </si>
  <si>
    <t>5. Inf. adicional: renovables</t>
  </si>
  <si>
    <t>F.- Construcción</t>
  </si>
  <si>
    <t>6.1 Informe final: Resultados I. Balears</t>
  </si>
  <si>
    <t>6.2 Informe final: Resultados España</t>
  </si>
  <si>
    <t>En el caso de haber calculado la huella de carbono de su organización para otros años anteriores, indique a continuación cuáles son y los valores de huella de carbono de alcance 1+2 obtenidos. Comience a introducir los datos por el AÑO 1.</t>
  </si>
  <si>
    <t>AÑO 1</t>
  </si>
  <si>
    <t>HC AÑO 1</t>
  </si>
  <si>
    <r>
      <rPr>
        <sz val="11"/>
        <color rgb="FF000000"/>
        <rFont val="Arial Narrow"/>
        <family val="2"/>
        <charset val="1"/>
      </rPr>
      <t>t CO</t>
    </r>
    <r>
      <rPr>
        <vertAlign val="subscript"/>
        <sz val="11"/>
        <color rgb="FF000000"/>
        <rFont val="Arial Narrow"/>
        <family val="2"/>
        <charset val="1"/>
      </rPr>
      <t xml:space="preserve">2 </t>
    </r>
    <r>
      <rPr>
        <sz val="11"/>
        <color rgb="FF000000"/>
        <rFont val="Arial Narrow"/>
        <family val="2"/>
        <charset val="1"/>
      </rPr>
      <t>eq</t>
    </r>
  </si>
  <si>
    <t>AÑO 2</t>
  </si>
  <si>
    <t>HC AÑO 2</t>
  </si>
  <si>
    <t>AÑO 3</t>
  </si>
  <si>
    <t>HC AÑO 3</t>
  </si>
  <si>
    <r>
      <rPr>
        <b/>
        <sz val="12"/>
        <color rgb="FFFFFFFF"/>
        <rFont val="Arial Narrow"/>
        <family val="2"/>
        <charset val="1"/>
      </rPr>
      <t xml:space="preserve">AÑO </t>
    </r>
    <r>
      <rPr>
        <b/>
        <sz val="10"/>
        <color rgb="FFFFFFFF"/>
        <rFont val="Arial Narrow"/>
        <family val="2"/>
        <charset val="1"/>
      </rPr>
      <t>de cálculo</t>
    </r>
  </si>
  <si>
    <r>
      <rPr>
        <b/>
        <sz val="12"/>
        <color rgb="FFFFFFFF"/>
        <rFont val="Arial Narrow"/>
        <family val="2"/>
        <charset val="1"/>
      </rPr>
      <t xml:space="preserve">HC </t>
    </r>
    <r>
      <rPr>
        <b/>
        <sz val="10"/>
        <color rgb="FFFFFFFF"/>
        <rFont val="Arial Narrow"/>
        <family val="2"/>
        <charset val="1"/>
      </rPr>
      <t>año de cálculo</t>
    </r>
  </si>
  <si>
    <r>
      <rPr>
        <b/>
        <sz val="14"/>
        <color rgb="FF000000"/>
        <rFont val="Arial Narrow"/>
        <family val="2"/>
        <charset val="1"/>
      </rPr>
      <t>t CO</t>
    </r>
    <r>
      <rPr>
        <b/>
        <vertAlign val="subscript"/>
        <sz val="14"/>
        <color rgb="FF000000"/>
        <rFont val="Arial Narrow"/>
        <family val="2"/>
        <charset val="1"/>
      </rPr>
      <t xml:space="preserve">2 </t>
    </r>
    <r>
      <rPr>
        <b/>
        <sz val="14"/>
        <color rgb="FF000000"/>
        <rFont val="Arial Narrow"/>
        <family val="2"/>
        <charset val="1"/>
      </rPr>
      <t>eq</t>
    </r>
  </si>
  <si>
    <r>
      <rPr>
        <sz val="11"/>
        <color rgb="FF1F497D"/>
        <rFont val="Arial Narrow"/>
        <family val="2"/>
        <charset val="1"/>
      </rPr>
      <t>A continuación deberá indicar el índice (nombre, valor numérico y unidades) que refleje de manera más adecuada el nivel de actividad de su organización. 
En el apartado de resultados,</t>
    </r>
    <r>
      <rPr>
        <sz val="11"/>
        <color rgb="FF003366"/>
        <rFont val="Arial Narrow"/>
        <family val="2"/>
        <charset val="1"/>
      </rPr>
      <t xml:space="preserve"> podrá encontrar el valor del ratio de emisiones referido a este índice.</t>
    </r>
  </si>
  <si>
    <t>AÑO</t>
  </si>
  <si>
    <t>ÍNDICE DE ACTIVIDAD</t>
  </si>
  <si>
    <t>Nombre</t>
  </si>
  <si>
    <t>Unidades</t>
  </si>
  <si>
    <t>Año de cálculo</t>
  </si>
  <si>
    <t>empleados</t>
  </si>
  <si>
    <t>Año 1</t>
  </si>
  <si>
    <t>Año 2</t>
  </si>
  <si>
    <t>Año 3</t>
  </si>
  <si>
    <r>
      <rPr>
        <sz val="11"/>
        <color rgb="FF1F497D"/>
        <rFont val="Arial Narrow"/>
        <family val="2"/>
        <charset val="1"/>
      </rPr>
      <t xml:space="preserve">De manera opcional, puede cumplimentar los datos de superficie y nº de empleados de su organización con el fin de obtener resultados relativos a estos parámetros en la hoja </t>
    </r>
    <r>
      <rPr>
        <sz val="11"/>
        <color rgb="FF003366"/>
        <rFont val="Arial Narrow"/>
        <family val="2"/>
        <charset val="1"/>
      </rPr>
      <t>de resultados.</t>
    </r>
  </si>
  <si>
    <r>
      <rPr>
        <b/>
        <sz val="11"/>
        <color rgb="FFFFFFFF"/>
        <rFont val="Arial Narrow"/>
        <family val="2"/>
        <charset val="1"/>
      </rPr>
      <t xml:space="preserve">  Superficie</t>
    </r>
    <r>
      <rPr>
        <b/>
        <vertAlign val="superscript"/>
        <sz val="11"/>
        <color rgb="FFFFFFFF"/>
        <rFont val="Arial Narrow"/>
        <family val="2"/>
        <charset val="1"/>
      </rPr>
      <t xml:space="preserve"> </t>
    </r>
    <r>
      <rPr>
        <b/>
        <sz val="11"/>
        <color rgb="FFFFFFFF"/>
        <rFont val="Arial Narrow"/>
        <family val="2"/>
        <charset val="1"/>
      </rPr>
      <t>(m</t>
    </r>
    <r>
      <rPr>
        <b/>
        <vertAlign val="superscript"/>
        <sz val="11"/>
        <color rgb="FFFFFFFF"/>
        <rFont val="Arial Narrow"/>
        <family val="2"/>
        <charset val="1"/>
      </rPr>
      <t>2</t>
    </r>
    <r>
      <rPr>
        <b/>
        <sz val="11"/>
        <color rgb="FFFFFFFF"/>
        <rFont val="Arial Narrow"/>
        <family val="2"/>
        <charset val="1"/>
      </rPr>
      <t>)</t>
    </r>
  </si>
  <si>
    <t xml:space="preserve">  Nº de empleados</t>
  </si>
  <si>
    <t xml:space="preserve">                                          ALCANCE 1: COMBUSTIBLES FÓSILES</t>
  </si>
  <si>
    <t>Cumplimentar en caso de que la organización, para el desarrollo de su actividad:</t>
  </si>
  <si>
    <t>1. HC Alcance 1: Comb. Fósiles</t>
  </si>
  <si>
    <r>
      <rPr>
        <b/>
        <sz val="12"/>
        <color rgb="FF0066CC"/>
        <rFont val="Arial Narrow"/>
        <family val="2"/>
        <charset val="1"/>
      </rPr>
      <t>A.</t>
    </r>
    <r>
      <rPr>
        <sz val="12"/>
        <color rgb="FF808080"/>
        <rFont val="Arial Narrow"/>
        <family val="2"/>
        <charset val="1"/>
      </rPr>
      <t xml:space="preserve">   </t>
    </r>
    <r>
      <rPr>
        <sz val="12"/>
        <color rgb="FF003366"/>
        <rFont val="Arial Narrow"/>
        <family val="2"/>
        <charset val="1"/>
      </rPr>
      <t>Disponga de instalaciones fijas (calderas, hornos, turbinas, etc.) que consuman combustibles fósiles para la generación de calor y/o vapor</t>
    </r>
  </si>
  <si>
    <r>
      <rPr>
        <b/>
        <sz val="12"/>
        <color rgb="FF0066CC"/>
        <rFont val="Arial Narrow"/>
        <family val="2"/>
        <charset val="1"/>
      </rP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 xml:space="preserve">Realice desplazamientos en vehículos propios o alquilados (ya sean turismos, camiones, furgonetas, motos, etc.) </t>
    </r>
  </si>
  <si>
    <r>
      <rPr>
        <sz val="12"/>
        <color rgb="FF1F497D"/>
        <rFont val="Arial Narrow"/>
        <family val="2"/>
        <charset val="1"/>
      </rPr>
      <t xml:space="preserve">En caso de que la organización consuma electricidad, calor o vapor proveniente de sus propias instalaciones de energía renovable, puede incluir datos relativos a las mismas en la pestaña </t>
    </r>
    <r>
      <rPr>
        <i/>
        <sz val="12"/>
        <color rgb="FF003366"/>
        <rFont val="Arial Narrow"/>
        <family val="2"/>
        <charset val="1"/>
      </rPr>
      <t>5_Información adicional</t>
    </r>
    <r>
      <rPr>
        <sz val="12"/>
        <color rgb="FF003366"/>
        <rFont val="Arial Narrow"/>
        <family val="2"/>
        <charset val="1"/>
      </rPr>
      <t>.</t>
    </r>
  </si>
  <si>
    <t>A.    INSTALACIONES FIJAS</t>
  </si>
  <si>
    <t>CONSUMO DE COMBUSTIBLES EN INSTALACIONES FIJAS</t>
  </si>
  <si>
    <t>Edificio / Sede</t>
  </si>
  <si>
    <t>¿Está ubicado en las Illes Balears?</t>
  </si>
  <si>
    <t xml:space="preserve"> Tipo de Combustible</t>
  </si>
  <si>
    <t>Cantidad comb. (ud)</t>
  </si>
  <si>
    <t>emissions</t>
  </si>
  <si>
    <t>emisiones</t>
  </si>
  <si>
    <t>Sí</t>
  </si>
  <si>
    <t>Gasóleo C (l)</t>
  </si>
  <si>
    <t>No</t>
  </si>
  <si>
    <r>
      <rPr>
        <sz val="10"/>
        <color rgb="FF003366"/>
        <rFont val="Arial Narrow"/>
        <family val="2"/>
        <charset val="1"/>
      </rPr>
      <t>* Factor de emisión del gas natural expresado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</si>
  <si>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t>B.    DESPLAZAMIENTOS EN VEHÍCULOS QUE CONSUMEN COMBUSTIBLES FÓSILES</t>
  </si>
  <si>
    <t>CONSUMO DE COMBUSTIBLES EN DESPLAZAMIENTOS</t>
  </si>
  <si>
    <t>Opción B.1 (Combustible consumido)</t>
  </si>
  <si>
    <t>Opción B.2 (km recorridos y modelo de coche)</t>
  </si>
  <si>
    <t>Vehículo o flota de vehículos</t>
  </si>
  <si>
    <t>Tipo de Combustible</t>
  </si>
  <si>
    <t>Modelo de coche</t>
  </si>
  <si>
    <t>km recorridos</t>
  </si>
  <si>
    <r>
      <rPr>
        <b/>
        <sz val="10"/>
        <color rgb="FFFFFFFF"/>
        <rFont val="Arial Narrow"/>
        <family val="2"/>
        <charset val="1"/>
      </rPr>
      <t>Valor medio
g CO</t>
    </r>
    <r>
      <rPr>
        <b/>
        <vertAlign val="subscript"/>
        <sz val="10"/>
        <color rgb="FFFFFFFF"/>
        <rFont val="Arial Narrow"/>
        <family val="2"/>
        <charset val="1"/>
      </rPr>
      <t>2</t>
    </r>
    <r>
      <rPr>
        <b/>
        <sz val="10"/>
        <color rgb="FFFFFFFF"/>
        <rFont val="Arial Narrow"/>
        <family val="2"/>
        <charset val="1"/>
      </rPr>
      <t>/km 
IDAE</t>
    </r>
  </si>
  <si>
    <t>Otros</t>
  </si>
  <si>
    <t>E5 (l)</t>
  </si>
  <si>
    <t>Gasolina (l)</t>
  </si>
  <si>
    <t xml:space="preserve">                                           ALCANCE 1: EMISIONES FUGITIVAS - FLUORADOS</t>
  </si>
  <si>
    <t>REFRIGERACIÓN Y CLIMATIZACIÓN (FUGA DE GASES FLUORADOS)</t>
  </si>
  <si>
    <t>Refrigerante de cada equipo</t>
  </si>
  <si>
    <t xml:space="preserve"> Tipo de equipo</t>
  </si>
  <si>
    <t>Carga inicial del equipo 
(kg)</t>
  </si>
  <si>
    <t xml:space="preserve">Recarga anual del equipo
(kg) </t>
  </si>
  <si>
    <r>
      <rPr>
        <b/>
        <sz val="10"/>
        <color rgb="FFFFFFFF"/>
        <rFont val="Arial Narrow"/>
        <family val="2"/>
        <charset val="1"/>
      </rPr>
      <t>Emisiones parciales
en Illes Balears 
(kg CO</t>
    </r>
    <r>
      <rPr>
        <b/>
        <vertAlign val="subscript"/>
        <sz val="10"/>
        <color rgb="FFFFFFFF"/>
        <rFont val="Arial Narrow"/>
        <family val="2"/>
        <charset val="1"/>
      </rPr>
      <t>2</t>
    </r>
    <r>
      <rPr>
        <b/>
        <sz val="10"/>
        <color rgb="FFFFFFFF"/>
        <rFont val="Arial Narrow"/>
        <family val="2"/>
        <charset val="1"/>
      </rPr>
      <t>eq)</t>
    </r>
  </si>
  <si>
    <r>
      <rPr>
        <b/>
        <sz val="10"/>
        <color rgb="FFFFFFFF"/>
        <rFont val="Arial Narrow"/>
        <family val="2"/>
        <charset val="1"/>
      </rPr>
      <t>Emisiones parciales
(kg CO</t>
    </r>
    <r>
      <rPr>
        <b/>
        <vertAlign val="subscript"/>
        <sz val="10"/>
        <color rgb="FFFFFFFF"/>
        <rFont val="Arial Narrow"/>
        <family val="2"/>
        <charset val="1"/>
      </rPr>
      <t>2</t>
    </r>
    <r>
      <rPr>
        <b/>
        <sz val="10"/>
        <color rgb="FFFFFFFF"/>
        <rFont val="Arial Narrow"/>
        <family val="2"/>
        <charset val="1"/>
      </rPr>
      <t>eq)</t>
    </r>
  </si>
  <si>
    <r>
      <rPr>
        <b/>
        <sz val="10"/>
        <color rgb="FFFFFFFF"/>
        <rFont val="Arial Narrow"/>
        <family val="2"/>
        <charset val="1"/>
      </rPr>
      <t>Emisiones totales
(kg CO</t>
    </r>
    <r>
      <rPr>
        <b/>
        <vertAlign val="subscript"/>
        <sz val="10"/>
        <color rgb="FFFFFFFF"/>
        <rFont val="Arial Narrow"/>
        <family val="2"/>
        <charset val="1"/>
      </rPr>
      <t>2</t>
    </r>
    <r>
      <rPr>
        <b/>
        <sz val="10"/>
        <color rgb="FFFFFFFF"/>
        <rFont val="Arial Narrow"/>
        <family val="2"/>
        <charset val="1"/>
      </rPr>
      <t>eq)</t>
    </r>
  </si>
  <si>
    <t>Nombre del gas o 
de la mezcla</t>
  </si>
  <si>
    <t>PCA</t>
  </si>
  <si>
    <t>OTRAS MEZCLAS</t>
  </si>
  <si>
    <t>Fórmula  química</t>
  </si>
  <si>
    <t>HFC-125</t>
  </si>
  <si>
    <t>HFC-134a</t>
  </si>
  <si>
    <r>
      <rPr>
        <vertAlign val="superscript"/>
        <sz val="12"/>
        <color rgb="FF003366"/>
        <rFont val="Arial Narrow"/>
        <family val="2"/>
        <charset val="1"/>
      </rPr>
      <t>*</t>
    </r>
    <r>
      <rPr>
        <sz val="10"/>
        <color rgb="FF003366"/>
        <rFont val="Arial Narrow"/>
        <family val="2"/>
        <charset val="1"/>
      </rPr>
      <t xml:space="preserve"> En caso de considerar otros gases puros (fluorados y no fluorados) no incluidos en el listado, puede consultar su PCA en los Anexos I, II, y IV del Reglamento (UE) N° 517/2014 del Parlamento Europeo y del Consejo, de 16 de abril de 2014, sobre los gases fluorados de efecto invernadero y por el que se deroga el Reglamento (CE) N° 842/2006. Asimismo, si incluye en el cálculo otras "mezclas" no contempladas en el listado, deberá calcular su PCA empleando los PCA para cada uno de sus componentes y en función de la proporción que aparezcan en la mezcla. Puede consultar el PCA de los componentes en la pestaña</t>
    </r>
    <r>
      <rPr>
        <i/>
        <sz val="10"/>
        <color rgb="FF003366"/>
        <rFont val="Arial Narrow"/>
        <family val="2"/>
        <charset val="1"/>
      </rPr>
      <t xml:space="preserve"> 7_Factores de emisión </t>
    </r>
    <r>
      <rPr>
        <sz val="10"/>
        <color rgb="FF003366"/>
        <rFont val="Arial Narrow"/>
        <family val="2"/>
        <charset val="1"/>
      </rPr>
      <t>y, en su defecto, en el Reglamento (UE) nº 517/2014.</t>
    </r>
  </si>
  <si>
    <t>Nota: las emisiones calculadas en este apartado se deben a fugas que han podido producirse durante años anteriores pero no han sido registradas hasta el año en que se realiza su recarga.</t>
  </si>
  <si>
    <t xml:space="preserve">                                           ALCANCE 1: EMISIONES DIRECTAS RELACIONADAS CON LOS PROCESOS</t>
  </si>
  <si>
    <t>EMISIONES DE PROCESOS</t>
  </si>
  <si>
    <t>Edificio / Sede / Centro
de Trabajo</t>
  </si>
  <si>
    <t>Tipo de proceso</t>
  </si>
  <si>
    <t>Tipo de GEI</t>
  </si>
  <si>
    <r>
      <rPr>
        <b/>
        <sz val="10"/>
        <color rgb="FFFFFFFF"/>
        <rFont val="Arial Narrow"/>
        <family val="2"/>
        <charset val="1"/>
      </rPr>
      <t xml:space="preserve">Cantidad emisiones GEI </t>
    </r>
    <r>
      <rPr>
        <b/>
        <sz val="9"/>
        <color rgb="FFFFFFFF"/>
        <rFont val="Arial Narrow"/>
        <family val="2"/>
        <charset val="1"/>
      </rPr>
      <t>(kg GEI)</t>
    </r>
  </si>
  <si>
    <r>
      <rPr>
        <b/>
        <sz val="10"/>
        <color rgb="FFFFFFFF"/>
        <rFont val="Arial Narrow"/>
        <family val="2"/>
        <charset val="1"/>
      </rPr>
      <t>Emisiones parciales
(kg CO</t>
    </r>
    <r>
      <rPr>
        <b/>
        <vertAlign val="subscript"/>
        <sz val="11"/>
        <color rgb="FFFFFFFF"/>
        <rFont val="Arial Narrow"/>
        <family val="2"/>
        <charset val="1"/>
      </rPr>
      <t>2</t>
    </r>
    <r>
      <rPr>
        <b/>
        <sz val="11"/>
        <color rgb="FFFFFFFF"/>
        <rFont val="Arial Narrow"/>
        <family val="2"/>
        <charset val="1"/>
      </rPr>
      <t>)</t>
    </r>
  </si>
  <si>
    <t>Metano (CH4)</t>
  </si>
  <si>
    <t xml:space="preserve">                                           ALCANCE 2: ELECTRICIDAD ILLES BALEARS</t>
  </si>
  <si>
    <t>Cumplimentar en caso de que la organización, para el desarrollo de su actividad, consuma electricidad contratada (comprada) en sus edificios y/o disponga de vehículos eléctricos y/o híbridos enchufables.</t>
  </si>
  <si>
    <t>CONSUMO DE ELECTRICIDAD EN EDIFICIOS</t>
  </si>
  <si>
    <t xml:space="preserve">4.1 HC 2: Electricidad I. Balears </t>
  </si>
  <si>
    <t>Se excluyen las emisiones derivadas de la electricidad comprada para ser revendida y las emisiones procedentes de la transmisión y distribución de la electricidad. Estas emisiones formarían parte de las emisiones indirectas de alcance 3, que no se incluyen en la presente calculadora.</t>
  </si>
  <si>
    <t>ELECTRICIDAD EDIFICIOS</t>
  </si>
  <si>
    <t xml:space="preserve">    Nombre de la comercializadora suministradora de energía</t>
  </si>
  <si>
    <t>¿Dispone de Garantía de Origen (GdO)?</t>
  </si>
  <si>
    <r>
      <rPr>
        <b/>
        <sz val="10"/>
        <color rgb="FFFFFFFF"/>
        <rFont val="Arial Narrow"/>
        <family val="2"/>
        <charset val="1"/>
      </rPr>
      <t xml:space="preserve"> Dato de consumo </t>
    </r>
    <r>
      <rPr>
        <b/>
        <sz val="9"/>
        <color rgb="FFFFFFFF"/>
        <rFont val="Arial Narrow"/>
        <family val="2"/>
        <charset val="1"/>
      </rPr>
      <t>(kWh)</t>
    </r>
  </si>
  <si>
    <r>
      <rPr>
        <b/>
        <sz val="10"/>
        <color rgb="FFFFFFFF"/>
        <rFont val="Arial Narrow"/>
        <family val="2"/>
        <charset val="1"/>
      </rPr>
      <t xml:space="preserve">  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</si>
  <si>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rPr>
        <b/>
        <sz val="10"/>
        <color rgb="FFFFFFFF"/>
        <rFont val="Arial Narrow"/>
        <family val="2"/>
        <charset val="1"/>
      </rPr>
      <t>Emisiones edificios
(kg CO</t>
    </r>
    <r>
      <rPr>
        <b/>
        <vertAlign val="subscript"/>
        <sz val="11"/>
        <color rgb="FFFFFFFF"/>
        <rFont val="Arial Narrow"/>
        <family val="2"/>
        <charset val="1"/>
      </rPr>
      <t>2</t>
    </r>
    <r>
      <rPr>
        <b/>
        <sz val="11"/>
        <color rgb="FFFFFFFF"/>
        <rFont val="Arial Narrow"/>
        <family val="2"/>
        <charset val="1"/>
      </rPr>
      <t>)</t>
    </r>
  </si>
  <si>
    <t>COMERCIALIZADORA DE ELECTRICIDAD Y GAS DEL MEDITERRÁNEO, S.L.</t>
  </si>
  <si>
    <t>CONSUMO DE ELECTRICIDAD EN VEHÍCULOS ELÉCTRICOS Y/O HÍBRIDOS ENCHUFABLES</t>
  </si>
  <si>
    <r>
      <rPr>
        <sz val="11"/>
        <color rgb="FF1F497D"/>
        <rFont val="Arial Narrow"/>
        <family val="2"/>
        <charset val="1"/>
      </rPr>
      <t xml:space="preserve">En caso de realizarse recargas de </t>
    </r>
    <r>
      <rPr>
        <b/>
        <sz val="11"/>
        <color rgb="FF376092"/>
        <rFont val="Arial Narrow"/>
        <family val="2"/>
        <charset val="1"/>
      </rPr>
      <t xml:space="preserve">coches eléctricos </t>
    </r>
    <r>
      <rPr>
        <sz val="11"/>
        <color rgb="FF1F497D"/>
        <rFont val="Arial Narrow"/>
        <family val="2"/>
        <charset val="1"/>
      </rPr>
      <t>o</t>
    </r>
    <r>
      <rPr>
        <sz val="11"/>
        <color rgb="FF4F81BD"/>
        <rFont val="Arial Narrow"/>
        <family val="2"/>
        <charset val="1"/>
      </rPr>
      <t xml:space="preserve"> </t>
    </r>
    <r>
      <rPr>
        <b/>
        <sz val="11"/>
        <color rgb="FF376092"/>
        <rFont val="Arial Narrow"/>
        <family val="2"/>
        <charset val="1"/>
      </rPr>
      <t xml:space="preserve">híbridos enchufables </t>
    </r>
    <r>
      <rPr>
        <sz val="11"/>
        <color rgb="FF1F497D"/>
        <rFont val="Arial Narrow"/>
        <family val="2"/>
        <charset val="1"/>
      </rPr>
      <t>en electrolineras o puntos de recarga públicos, deberá indicar la opción “</t>
    </r>
    <r>
      <rPr>
        <i/>
        <sz val="11"/>
        <color rgb="FF1F497D"/>
        <rFont val="Arial Narrow"/>
        <family val="2"/>
        <charset val="1"/>
      </rPr>
      <t>Otras</t>
    </r>
    <r>
      <rPr>
        <sz val="11"/>
        <color rgb="FF1F497D"/>
        <rFont val="Arial Narrow"/>
        <family val="2"/>
        <charset val="1"/>
      </rPr>
      <t xml:space="preserve">” si desconoce cuál es la comercializadora que suministra la electricidad. Si las recargas se realizan en el </t>
    </r>
    <r>
      <rPr>
        <b/>
        <sz val="11"/>
        <color rgb="FF1F497D"/>
        <rFont val="Arial Narrow"/>
        <family val="2"/>
        <charset val="1"/>
      </rPr>
      <t xml:space="preserve">lugar de trabajo </t>
    </r>
    <r>
      <rPr>
        <sz val="11"/>
        <color rgb="FF1F497D"/>
        <rFont val="Arial Narrow"/>
        <family val="2"/>
        <charset val="1"/>
      </rPr>
      <t xml:space="preserve">pueden darse dos circunstancias: </t>
    </r>
  </si>
  <si>
    <t xml:space="preserve"> - La factura de electricidad incluye además de los consumos del edificio, los consumos de los puntos de recarga para vehículos del garaje (único CUP): en este caso no dispondrá del dato desglosado para vehículos y edificio y deberá incluir el dato global en el primer apartado de esta  pestaña. 
 - Existen CUPS independientes para los consumos del edificio y para los puntos de recarga de los vehículos: en este caso deberá cumplimentar los dos apartados de esta pestaña a partir de las facturas de los distintos CUPS.</t>
  </si>
  <si>
    <t>ELECTRICIDAD VEHÍCULOS ELÉCTRICOS Y/O HÍBRIDOS ENCHUFABLES</t>
  </si>
  <si>
    <t>Vehículo eléctrico o híbrido enchufable</t>
  </si>
  <si>
    <t>Nombre de la comercializadora suministradora de energía</t>
  </si>
  <si>
    <r>
      <rPr>
        <b/>
        <sz val="10"/>
        <color rgb="FFFFFFFF"/>
        <rFont val="Arial Narrow"/>
        <family val="2"/>
        <charset val="1"/>
      </rPr>
      <t xml:space="preserve"> Dato de consumo (</t>
    </r>
    <r>
      <rPr>
        <b/>
        <sz val="9"/>
        <color rgb="FFFFFFFF"/>
        <rFont val="Arial Narrow"/>
        <family val="2"/>
        <charset val="1"/>
      </rPr>
      <t>kWh)</t>
    </r>
  </si>
  <si>
    <r>
      <rPr>
        <b/>
        <sz val="10"/>
        <color rgb="FFFFFFFF"/>
        <rFont val="Arial Narrow"/>
        <family val="2"/>
        <charset val="1"/>
      </rP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</si>
  <si>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rPr>
        <b/>
        <sz val="10"/>
        <color rgb="FFFFFFFF"/>
        <rFont val="Arial Narrow"/>
        <family val="2"/>
        <charset val="1"/>
      </rPr>
      <t>Emisiones vehículos
(kg CO</t>
    </r>
    <r>
      <rPr>
        <b/>
        <vertAlign val="subscript"/>
        <sz val="11"/>
        <color rgb="FFFFFFFF"/>
        <rFont val="Arial Narrow"/>
        <family val="2"/>
        <charset val="1"/>
      </rPr>
      <t>2</t>
    </r>
    <r>
      <rPr>
        <b/>
        <sz val="11"/>
        <color rgb="FFFFFFFF"/>
        <rFont val="Arial Narrow"/>
        <family val="2"/>
        <charset val="1"/>
      </rPr>
      <t>)</t>
    </r>
  </si>
  <si>
    <t xml:space="preserve">                                           ALCANCE 2: ELECTRICIDAD ESPAÑA</t>
  </si>
  <si>
    <r>
      <rPr>
        <sz val="11"/>
        <color rgb="FF1F497D"/>
        <rFont val="Arial Narrow"/>
        <family val="2"/>
        <charset val="1"/>
      </rPr>
      <t xml:space="preserve">En el siguiente cuadro tendrá que reflejar si la electricidad contratada dispone de </t>
    </r>
    <r>
      <rPr>
        <b/>
        <sz val="11"/>
        <color rgb="FF376092"/>
        <rFont val="Arial Narrow"/>
        <family val="2"/>
        <charset val="1"/>
      </rPr>
      <t>certificado de Garantía de Origen (GdO) de la electricidad que podrán ser de dos tipos: GdO de la electricidad procedente de fuentes de energía renovable</t>
    </r>
    <r>
      <rPr>
        <sz val="11"/>
        <color rgb="FF376092"/>
        <rFont val="Arial Narrow"/>
        <family val="2"/>
        <charset val="1"/>
      </rPr>
      <t xml:space="preserve"> o </t>
    </r>
    <r>
      <rPr>
        <b/>
        <sz val="11"/>
        <color rgb="FF376092"/>
        <rFont val="Arial Narrow"/>
        <family val="2"/>
        <charset val="1"/>
      </rPr>
      <t>GdO de la electricidad procedente de sistemas de cogeneración de alta eficiencia</t>
    </r>
    <r>
      <rPr>
        <sz val="11"/>
        <color rgb="FF1F497D"/>
        <rFont val="Arial Narrow"/>
        <family val="2"/>
        <charset val="1"/>
      </rPr>
      <t>. Además, tendrá que indicar la suma de los kWh consumidos durante el año según las diferentes comercializadoras que tenga contratadas. En caso de que su comercializadora no sea ninguna de las que aparece en el listado, deberá indicar la opción "</t>
    </r>
    <r>
      <rPr>
        <i/>
        <sz val="11"/>
        <color rgb="FF003366"/>
        <rFont val="Arial Narrow"/>
        <family val="2"/>
        <charset val="1"/>
      </rPr>
      <t>Otras</t>
    </r>
    <r>
      <rPr>
        <sz val="11"/>
        <color rgb="FF003366"/>
        <rFont val="Arial Narrow"/>
        <family val="2"/>
        <charset val="1"/>
      </rPr>
      <t>". En caso de multisuministro, en lugar de desglosar los consumos según comercializadoras, puede escoger también la opción "</t>
    </r>
    <r>
      <rPr>
        <i/>
        <sz val="11"/>
        <color rgb="FF003366"/>
        <rFont val="Arial Narrow"/>
        <family val="2"/>
        <charset val="1"/>
      </rPr>
      <t>Varias comercializadoras</t>
    </r>
    <r>
      <rPr>
        <sz val="11"/>
        <color rgb="FF003366"/>
        <rFont val="Arial Narrow"/>
        <family val="2"/>
        <charset val="1"/>
      </rPr>
      <t>" y tendrá que indicar la suma de los kWh consumidos durante el año para todas las comercializadoras.</t>
    </r>
  </si>
  <si>
    <r>
      <rPr>
        <b/>
        <sz val="10"/>
        <color rgb="FFFFFFFF"/>
        <rFont val="Arial Narrow"/>
        <family val="2"/>
        <charset val="1"/>
      </rP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</si>
  <si>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GdO cogeneración de alta eficiencia</t>
  </si>
  <si>
    <t xml:space="preserve">                                          INFORMACIÓN ADICIONAL - INSTALACIONES PROPIAS DE ENERGÍA RENOVABLE</t>
  </si>
  <si>
    <t>Cumplimentar de manera adicional en caso de que la organización disponga de instalaciones para la generación de energía renovable (paneles fotovoltaicos, turbinas de viento, calderas de biomasa, etc.) ya sea para su venta o para autoconsumo.</t>
  </si>
  <si>
    <t>ENERGÍAS RENOVABLES</t>
  </si>
  <si>
    <r>
      <rPr>
        <b/>
        <sz val="12"/>
        <color rgb="FFFFFFFF"/>
        <rFont val="Arial Narrow"/>
        <family val="2"/>
        <charset val="1"/>
      </rPr>
      <t>Emisiones
(kg CO</t>
    </r>
    <r>
      <rPr>
        <b/>
        <vertAlign val="subscript"/>
        <sz val="12"/>
        <color rgb="FFFFFFFF"/>
        <rFont val="Arial Narrow"/>
        <family val="2"/>
        <charset val="1"/>
      </rPr>
      <t>2</t>
    </r>
    <r>
      <rPr>
        <b/>
        <sz val="12"/>
        <color rgb="FFFFFFFF"/>
        <rFont val="Arial Narrow"/>
        <family val="2"/>
        <charset val="1"/>
      </rPr>
      <t>)</t>
    </r>
  </si>
  <si>
    <t>Tipo de Energía Renovable</t>
  </si>
  <si>
    <t>Cantidad total
(kWh)</t>
  </si>
  <si>
    <r>
      <rPr>
        <sz val="11"/>
        <color rgb="FF1F497D"/>
        <rFont val="Arial Narrow"/>
        <family val="2"/>
        <charset val="1"/>
      </rPr>
      <t xml:space="preserve">En caso de utilizar </t>
    </r>
    <r>
      <rPr>
        <sz val="11"/>
        <color rgb="FF0066CC"/>
        <rFont val="Arial Narrow"/>
        <family val="2"/>
        <charset val="1"/>
      </rPr>
      <t xml:space="preserve">biomasa </t>
    </r>
    <r>
      <rPr>
        <sz val="11"/>
        <color rgb="FF003366"/>
        <rFont val="Arial Narrow"/>
        <family val="2"/>
        <charset val="1"/>
      </rPr>
      <t>como combustible, cumplimentar el siguiente cuadro:</t>
    </r>
  </si>
  <si>
    <t>ENERGÍAS RENOVABLES: BIOMASA</t>
  </si>
  <si>
    <t>Tipo de 
biomasa</t>
  </si>
  <si>
    <t>Cantidades parciales
(kg)</t>
  </si>
  <si>
    <t>Cantidad total 
(kg)</t>
  </si>
  <si>
    <t xml:space="preserve">                                          INFORME FINAL: RESULTADOS REGISTRO ILLES BALEARS</t>
  </si>
  <si>
    <t>Nombre de la organización</t>
  </si>
  <si>
    <t>Sector de actividad</t>
  </si>
  <si>
    <t>RESULTADOS ABSOLUTOS AÑO DE CÁLCULO</t>
  </si>
  <si>
    <t>Año  de cálculo</t>
  </si>
  <si>
    <t>ALCANCE 1</t>
  </si>
  <si>
    <r>
      <rPr>
        <b/>
        <sz val="10"/>
        <color rgb="FF000000"/>
        <rFont val="Arial Narrow"/>
        <family val="2"/>
        <charset val="1"/>
      </rPr>
      <t>t CO</t>
    </r>
    <r>
      <rPr>
        <b/>
        <vertAlign val="subscript"/>
        <sz val="11"/>
        <color rgb="FF000000"/>
        <rFont val="Arial Narrow"/>
        <family val="2"/>
        <charset val="1"/>
      </rPr>
      <t>2</t>
    </r>
    <r>
      <rPr>
        <b/>
        <sz val="11"/>
        <color rgb="FF000000"/>
        <rFont val="Arial Narrow"/>
        <family val="2"/>
        <charset val="1"/>
      </rPr>
      <t>eq</t>
    </r>
  </si>
  <si>
    <t>ALCANCE 2</t>
  </si>
  <si>
    <t>ALCANCE 1+2</t>
  </si>
  <si>
    <r>
      <rPr>
        <b/>
        <sz val="11"/>
        <color rgb="FFFFFFFF"/>
        <rFont val="Arial Narrow"/>
        <family val="2"/>
        <charset val="1"/>
      </rPr>
      <t>t CO</t>
    </r>
    <r>
      <rPr>
        <b/>
        <vertAlign val="subscript"/>
        <sz val="11"/>
        <color rgb="FFFFFFFF"/>
        <rFont val="Arial Narrow"/>
        <family val="2"/>
        <charset val="1"/>
      </rPr>
      <t>2</t>
    </r>
    <r>
      <rPr>
        <b/>
        <sz val="11"/>
        <color rgb="FFFFFFFF"/>
        <rFont val="Arial Narrow"/>
        <family val="2"/>
        <charset val="1"/>
      </rPr>
      <t>eq</t>
    </r>
  </si>
  <si>
    <r>
      <rPr>
        <b/>
        <i/>
        <sz val="13"/>
        <color rgb="FF000000"/>
        <rFont val="Arial Narrow"/>
        <family val="2"/>
        <charset val="1"/>
      </rPr>
      <t>Resultados en kgCO</t>
    </r>
    <r>
      <rPr>
        <b/>
        <i/>
        <vertAlign val="subscript"/>
        <sz val="13"/>
        <color rgb="FF000000"/>
        <rFont val="Arial Narrow"/>
        <family val="2"/>
        <charset val="1"/>
      </rPr>
      <t>2</t>
    </r>
    <r>
      <rPr>
        <b/>
        <i/>
        <sz val="13"/>
        <color rgb="FF000000"/>
        <rFont val="Arial Narrow"/>
        <family val="2"/>
        <charset val="1"/>
      </rPr>
      <t xml:space="preserve"> desglosados según actividades</t>
    </r>
  </si>
  <si>
    <t>Instalaciones fijas</t>
  </si>
  <si>
    <t>Desplazamientos en vehículos*</t>
  </si>
  <si>
    <t>Refrigeración/climatización</t>
  </si>
  <si>
    <r>
      <rPr>
        <b/>
        <sz val="10"/>
        <color rgb="FF000000"/>
        <rFont val="Arial Narrow"/>
        <family val="2"/>
        <charset val="1"/>
      </rPr>
      <t>kg CO</t>
    </r>
    <r>
      <rPr>
        <b/>
        <vertAlign val="subscript"/>
        <sz val="10"/>
        <color rgb="FF000000"/>
        <rFont val="Arial Narrow"/>
        <family val="2"/>
        <charset val="1"/>
      </rPr>
      <t>2</t>
    </r>
    <r>
      <rPr>
        <b/>
        <sz val="10"/>
        <color rgb="FF000000"/>
        <rFont val="Arial Narrow"/>
        <family val="2"/>
        <charset val="1"/>
      </rPr>
      <t>eq</t>
    </r>
  </si>
  <si>
    <t>Emisiones de proceso</t>
  </si>
  <si>
    <t>TOTAL ALCANCE 1</t>
  </si>
  <si>
    <r>
      <rPr>
        <b/>
        <sz val="11"/>
        <color rgb="FF000000"/>
        <rFont val="Arial Narrow"/>
        <family val="2"/>
        <charset val="1"/>
      </rPr>
      <t>kg CO</t>
    </r>
    <r>
      <rPr>
        <b/>
        <vertAlign val="subscript"/>
        <sz val="11"/>
        <color rgb="FF000000"/>
        <rFont val="Arial Narrow"/>
        <family val="2"/>
        <charset val="1"/>
      </rPr>
      <t>2</t>
    </r>
    <r>
      <rPr>
        <b/>
        <sz val="11"/>
        <color rgb="FF000000"/>
        <rFont val="Arial Narrow"/>
        <family val="2"/>
        <charset val="1"/>
      </rPr>
      <t>eq</t>
    </r>
  </si>
  <si>
    <t>Electricidad</t>
  </si>
  <si>
    <t>* Se excluye el transporte a través de vehículos propulsados por electricidad que se incluye en alcance 2.</t>
  </si>
  <si>
    <t>RESULTADOS RELATIVOS PARA ALCANCE 1+2 - EVOLUCIÓN</t>
  </si>
  <si>
    <r>
      <rPr>
        <b/>
        <sz val="10"/>
        <color rgb="FFFFFFFF"/>
        <rFont val="Arial Narrow"/>
        <family val="2"/>
        <charset val="1"/>
      </rPr>
      <t xml:space="preserve"> t CO</t>
    </r>
    <r>
      <rPr>
        <b/>
        <vertAlign val="subscript"/>
        <sz val="10"/>
        <color rgb="FFFFFFFF"/>
        <rFont val="Arial Narrow"/>
        <family val="2"/>
        <charset val="1"/>
      </rPr>
      <t>2</t>
    </r>
    <r>
      <rPr>
        <b/>
        <sz val="10"/>
        <color rgb="FFFFFFFF"/>
        <rFont val="Arial Narrow"/>
        <family val="2"/>
        <charset val="1"/>
      </rPr>
      <t>eq /</t>
    </r>
  </si>
  <si>
    <t xml:space="preserve">AÑO DE
 CÁLCULO:    </t>
  </si>
  <si>
    <r>
      <rPr>
        <b/>
        <sz val="10"/>
        <color rgb="FFFFFFFF"/>
        <rFont val="Arial Narrow"/>
        <family val="2"/>
        <charset val="1"/>
      </rPr>
      <t>t CO</t>
    </r>
    <r>
      <rPr>
        <b/>
        <vertAlign val="subscript"/>
        <sz val="10"/>
        <color rgb="FFFFFFFF"/>
        <rFont val="Arial Narrow"/>
        <family val="2"/>
        <charset val="1"/>
      </rPr>
      <t>2</t>
    </r>
    <r>
      <rPr>
        <b/>
        <sz val="10"/>
        <color rgb="FFFFFFFF"/>
        <rFont val="Arial Narrow"/>
        <family val="2"/>
        <charset val="1"/>
      </rPr>
      <t>eq /</t>
    </r>
  </si>
  <si>
    <r>
      <rPr>
        <b/>
        <sz val="10"/>
        <color rgb="FFFFFFFF"/>
        <rFont val="Arial Narrow"/>
        <family val="2"/>
        <charset val="1"/>
      </rPr>
      <t>m</t>
    </r>
    <r>
      <rPr>
        <b/>
        <vertAlign val="superscript"/>
        <sz val="10"/>
        <color rgb="FFFFFFFF"/>
        <rFont val="Arial Narrow"/>
        <family val="2"/>
        <charset val="1"/>
      </rPr>
      <t>2</t>
    </r>
  </si>
  <si>
    <t>empleado</t>
  </si>
  <si>
    <r>
      <rPr>
        <b/>
        <sz val="10"/>
        <color rgb="FF000000"/>
        <rFont val="Arial Narrow"/>
        <family val="2"/>
        <charset val="1"/>
      </rPr>
      <t>t CO</t>
    </r>
    <r>
      <rPr>
        <b/>
        <vertAlign val="subscript"/>
        <sz val="10"/>
        <color rgb="FF000000"/>
        <rFont val="Arial Narrow"/>
        <family val="2"/>
        <charset val="1"/>
      </rPr>
      <t>2</t>
    </r>
    <r>
      <rPr>
        <b/>
        <sz val="10"/>
        <color rgb="FF000000"/>
        <rFont val="Arial Narrow"/>
        <family val="2"/>
        <charset val="1"/>
      </rPr>
      <t>eq /</t>
    </r>
  </si>
  <si>
    <t>AÑO 1:</t>
  </si>
  <si>
    <r>
      <rPr>
        <b/>
        <sz val="10"/>
        <color rgb="FF000000"/>
        <rFont val="Arial Narrow"/>
        <family val="2"/>
        <charset val="1"/>
      </rPr>
      <t>m</t>
    </r>
    <r>
      <rPr>
        <b/>
        <vertAlign val="superscript"/>
        <sz val="10"/>
        <color rgb="FF000000"/>
        <rFont val="Arial Narrow"/>
        <family val="2"/>
        <charset val="1"/>
      </rPr>
      <t>2</t>
    </r>
  </si>
  <si>
    <t>AÑO 2:</t>
  </si>
  <si>
    <t>AÑO 3:</t>
  </si>
  <si>
    <t>RESULTADOS POR EDIFICIO / SEDE *</t>
  </si>
  <si>
    <t>Emisiones proceso</t>
  </si>
  <si>
    <t xml:space="preserve">                                          INFORME FINAL: RESULTADOS REGISTRO ESPAÑA</t>
  </si>
  <si>
    <r>
      <rPr>
        <b/>
        <sz val="10"/>
        <rFont val="Arial Narrow"/>
        <family val="2"/>
        <charset val="1"/>
      </rPr>
      <t>t CO</t>
    </r>
    <r>
      <rPr>
        <b/>
        <vertAlign val="subscript"/>
        <sz val="11"/>
        <rFont val="Arial Narrow"/>
        <family val="2"/>
        <charset val="1"/>
      </rPr>
      <t>2</t>
    </r>
    <r>
      <rPr>
        <b/>
        <sz val="11"/>
        <rFont val="Arial Narrow"/>
        <family val="2"/>
        <charset val="1"/>
      </rPr>
      <t>eq</t>
    </r>
  </si>
  <si>
    <r>
      <rPr>
        <b/>
        <i/>
        <sz val="13"/>
        <color rgb="FF808080"/>
        <rFont val="Arial Narrow"/>
        <family val="2"/>
        <charset val="1"/>
      </rPr>
      <t>Resultados en kgCO</t>
    </r>
    <r>
      <rPr>
        <b/>
        <i/>
        <vertAlign val="subscript"/>
        <sz val="13"/>
        <color rgb="FF808080"/>
        <rFont val="Arial Narrow"/>
        <family val="2"/>
        <charset val="1"/>
      </rPr>
      <t>2</t>
    </r>
    <r>
      <rPr>
        <b/>
        <i/>
        <sz val="13"/>
        <color rgb="FF808080"/>
        <rFont val="Arial Narrow"/>
        <family val="2"/>
        <charset val="1"/>
      </rPr>
      <t xml:space="preserve"> desglosados según actividades</t>
    </r>
  </si>
  <si>
    <r>
      <rPr>
        <b/>
        <sz val="10"/>
        <rFont val="Arial Narrow"/>
        <family val="2"/>
        <charset val="1"/>
      </rPr>
      <t>kg CO</t>
    </r>
    <r>
      <rPr>
        <b/>
        <vertAlign val="subscript"/>
        <sz val="10"/>
        <rFont val="Arial Narrow"/>
        <family val="2"/>
        <charset val="1"/>
      </rPr>
      <t>2</t>
    </r>
    <r>
      <rPr>
        <b/>
        <sz val="10"/>
        <rFont val="Arial Narrow"/>
        <family val="2"/>
        <charset val="1"/>
      </rPr>
      <t>eq</t>
    </r>
  </si>
  <si>
    <r>
      <rPr>
        <b/>
        <sz val="11"/>
        <rFont val="Arial Narrow"/>
        <family val="2"/>
        <charset val="1"/>
      </rPr>
      <t>kg CO</t>
    </r>
    <r>
      <rPr>
        <b/>
        <vertAlign val="subscript"/>
        <sz val="11"/>
        <rFont val="Arial Narrow"/>
        <family val="2"/>
        <charset val="1"/>
      </rPr>
      <t>2</t>
    </r>
    <r>
      <rPr>
        <b/>
        <sz val="11"/>
        <rFont val="Arial Narrow"/>
        <family val="2"/>
        <charset val="1"/>
      </rPr>
      <t>eq</t>
    </r>
  </si>
  <si>
    <r>
      <rPr>
        <b/>
        <sz val="10"/>
        <rFont val="Arial Narrow"/>
        <family val="2"/>
        <charset val="1"/>
      </rPr>
      <t>t CO</t>
    </r>
    <r>
      <rPr>
        <b/>
        <vertAlign val="subscript"/>
        <sz val="10"/>
        <rFont val="Arial Narrow"/>
        <family val="2"/>
        <charset val="1"/>
      </rPr>
      <t>2</t>
    </r>
    <r>
      <rPr>
        <b/>
        <sz val="10"/>
        <rFont val="Arial Narrow"/>
        <family val="2"/>
        <charset val="1"/>
      </rPr>
      <t>eq /</t>
    </r>
  </si>
  <si>
    <r>
      <rPr>
        <b/>
        <sz val="10"/>
        <rFont val="Arial Narrow"/>
        <family val="2"/>
        <charset val="1"/>
      </rPr>
      <t>m</t>
    </r>
    <r>
      <rPr>
        <b/>
        <vertAlign val="superscript"/>
        <sz val="10"/>
        <rFont val="Arial Narrow"/>
        <family val="2"/>
        <charset val="1"/>
      </rPr>
      <t>2</t>
    </r>
  </si>
  <si>
    <t>Lista comb instalaciones fijas 2007 - 2018</t>
  </si>
  <si>
    <t>Lista comb instalaciones fijas a partir de 2019</t>
  </si>
  <si>
    <t>Lista comb vehículos 2007-2018</t>
  </si>
  <si>
    <t>Lista comb vehículos  2019</t>
  </si>
  <si>
    <t>Lista comb vehículos a partir de 2020</t>
  </si>
  <si>
    <t>E5  (l)</t>
  </si>
  <si>
    <t>1_Datos generales organización</t>
  </si>
  <si>
    <t>Gasóleo B (l)</t>
  </si>
  <si>
    <t>Gasóleo A (l)</t>
  </si>
  <si>
    <t>E10  (l)</t>
  </si>
  <si>
    <t>Gas natural (kWh)*</t>
  </si>
  <si>
    <t>E85 (l)</t>
  </si>
  <si>
    <t>Lista años</t>
  </si>
  <si>
    <t>Lista tipo organización</t>
  </si>
  <si>
    <t>Lista sector</t>
  </si>
  <si>
    <t>LNG (kWh)*</t>
  </si>
  <si>
    <t>E100 (l)</t>
  </si>
  <si>
    <t>Micro</t>
  </si>
  <si>
    <t>A.- Agricultura, ganadería, silvicultura y pesca</t>
  </si>
  <si>
    <t>CNG (kWh)*</t>
  </si>
  <si>
    <t>B7 (l)</t>
  </si>
  <si>
    <t>Pequeña</t>
  </si>
  <si>
    <t>B.- Industrias extractivas</t>
  </si>
  <si>
    <t>LPG (l)</t>
  </si>
  <si>
    <t>B10 (l)</t>
  </si>
  <si>
    <t>C.- Industria manufacturera</t>
  </si>
  <si>
    <t>Gas butano (kg)</t>
  </si>
  <si>
    <t>B20 (l)</t>
  </si>
  <si>
    <t>Gran empresa</t>
  </si>
  <si>
    <t>D.- Suministro de energía eléctrica, gas, vapor y aire acondicionado</t>
  </si>
  <si>
    <t>Gas propano kg)</t>
  </si>
  <si>
    <t>B30 (l)</t>
  </si>
  <si>
    <t>Administración</t>
  </si>
  <si>
    <t>E.- Suministro de agua, actividades de saneamiento, gestión de residuos y descontaminación</t>
  </si>
  <si>
    <t>Fuelóleo (kg)</t>
  </si>
  <si>
    <t>B100 (l)</t>
  </si>
  <si>
    <t>Entidad sin ánimo de lucro</t>
  </si>
  <si>
    <t>Carbón nacional (kg)</t>
  </si>
  <si>
    <t>G.- Comercio al por mayor y al por menor; reparación de vehículos de motor y motocicletas</t>
  </si>
  <si>
    <t>Carbón de importación (kg)</t>
  </si>
  <si>
    <t>XTL (l)</t>
  </si>
  <si>
    <t>H.- Transporte y almacenamiento</t>
  </si>
  <si>
    <t>Coque de petróleo (kg)</t>
  </si>
  <si>
    <t>LNG (Kg)</t>
  </si>
  <si>
    <t>I.- Hostelería</t>
  </si>
  <si>
    <t>CNG (kg)</t>
  </si>
  <si>
    <t>J.- Información y comunicaciones</t>
  </si>
  <si>
    <t>K.- Actividades financieras y de seguros</t>
  </si>
  <si>
    <t>H2 (kg)</t>
  </si>
  <si>
    <t>L.- Actividades inmobiliarias</t>
  </si>
  <si>
    <t>M.- Actividades profesionales, científicas y técnicas</t>
  </si>
  <si>
    <t>N.- Actividades administrativas y servicios auxiliares</t>
  </si>
  <si>
    <t>O.- Administración pública y defensa; seguridad social obligatoria</t>
  </si>
  <si>
    <t>Excluyo respecto a años anteriores:</t>
  </si>
  <si>
    <t>P.- Educación</t>
  </si>
  <si>
    <t>Q.- Actividades sanitarias y de servicios sociales</t>
  </si>
  <si>
    <t>Excluyo respecto a fijas:</t>
  </si>
  <si>
    <t>R.- Actividades artísticas, recreativas y de entretenimiento</t>
  </si>
  <si>
    <t>S.- Otros servicios</t>
  </si>
  <si>
    <t>T.- Actividades de los hogares como empleadores de personal doméstico; actividades de los hogares como productores de bienes y servicios para uso propio</t>
  </si>
  <si>
    <t>U.- Actividades de organizaciones y organismos extraterritoriales</t>
  </si>
  <si>
    <t>Excluyo respecto a vehículos:</t>
  </si>
  <si>
    <t>(el año que viene comienza en 2012)</t>
  </si>
  <si>
    <t>Lista_Comb_fósiles_fijos_2011</t>
  </si>
  <si>
    <t>Lista_Comb_fósiles_fijos_2012</t>
  </si>
  <si>
    <t>Lista_Comb_fósiles_fijos_2013</t>
  </si>
  <si>
    <t>Lista_Comb_fósiles_fijos_2014</t>
  </si>
  <si>
    <t>Lista_Comb_fósiles_fijos_2015</t>
  </si>
  <si>
    <t>Lista_Comb_fósiles_fijos_2016</t>
  </si>
  <si>
    <t>Lista_Comb_fósiles_fijos_2017</t>
  </si>
  <si>
    <t>Lista_Comb_fósiles_fijos_2018</t>
  </si>
  <si>
    <t>Lista_Comb_fósiles_fijos_2019</t>
  </si>
  <si>
    <t>Lista_Comb_fósiles_fijos_2020</t>
  </si>
  <si>
    <t>Biomasa (kg)</t>
  </si>
  <si>
    <t>Añado respecto a fijas:</t>
  </si>
  <si>
    <t>Gas propano (kg)</t>
  </si>
  <si>
    <t>E10 (l)</t>
  </si>
  <si>
    <t>Otros (ud)</t>
  </si>
  <si>
    <t>Lista_Comb_fósiles_vehículos_2011</t>
  </si>
  <si>
    <t>Lista_Comb_fósiles_vehículos_2012</t>
  </si>
  <si>
    <t>Lista_Comb_fósiles_vehículos_2013</t>
  </si>
  <si>
    <t>Lista_Comb_fósiles_vehículos_2014</t>
  </si>
  <si>
    <t>Lista_Comb_fósiles_vehículos_2015</t>
  </si>
  <si>
    <t>Lista_Comb_fósiles_vehículos_2016</t>
  </si>
  <si>
    <t>Lista_Comb_fósiles_vehículos_2017</t>
  </si>
  <si>
    <t>Lista_Comb_fósiles_vehículos_2018</t>
  </si>
  <si>
    <t>Lista_Comb_fósiles_vehículos_2019</t>
  </si>
  <si>
    <t>Lista_Comb_fósiles_vehículos_2020</t>
  </si>
  <si>
    <t>LNG (kg)</t>
  </si>
  <si>
    <t>Combustible (Unitats FE)</t>
  </si>
  <si>
    <t>Factors d’emissió (FE)</t>
  </si>
  <si>
    <r>
      <rPr>
        <b/>
        <sz val="10"/>
        <rFont val="Arial Narrow"/>
        <family val="2"/>
        <charset val="1"/>
      </rPr>
      <t>Gasolina (</t>
    </r>
    <r>
      <rPr>
        <b/>
        <sz val="10"/>
        <color rgb="FF000000"/>
        <rFont val="Arial Narrow"/>
        <family val="2"/>
        <charset val="1"/>
      </rPr>
      <t>l)</t>
    </r>
  </si>
  <si>
    <t>-</t>
  </si>
  <si>
    <r>
      <rPr>
        <b/>
        <sz val="10"/>
        <rFont val="Arial Narrow"/>
        <family val="2"/>
        <charset val="1"/>
      </rPr>
      <t>Gasóleo A (</t>
    </r>
    <r>
      <rPr>
        <b/>
        <sz val="10"/>
        <color rgb="FF000000"/>
        <rFont val="Arial Narrow"/>
        <family val="2"/>
        <charset val="1"/>
      </rPr>
      <t>l)</t>
    </r>
  </si>
  <si>
    <r>
      <rPr>
        <b/>
        <sz val="10"/>
        <rFont val="Arial Narrow"/>
        <family val="2"/>
        <charset val="1"/>
      </rPr>
      <t>Gasóleo C (</t>
    </r>
    <r>
      <rPr>
        <b/>
        <sz val="10"/>
        <color rgb="FF000000"/>
        <rFont val="Arial Narrow"/>
        <family val="2"/>
        <charset val="1"/>
      </rPr>
      <t>l)</t>
    </r>
  </si>
  <si>
    <r>
      <rPr>
        <b/>
        <sz val="10"/>
        <rFont val="Arial Narrow"/>
        <family val="2"/>
        <charset val="1"/>
      </rPr>
      <t>E5 (</t>
    </r>
    <r>
      <rPr>
        <b/>
        <sz val="10"/>
        <color rgb="FF000000"/>
        <rFont val="Arial Narrow"/>
        <family val="2"/>
        <charset val="1"/>
      </rPr>
      <t>l)</t>
    </r>
  </si>
  <si>
    <r>
      <rPr>
        <b/>
        <sz val="10"/>
        <rFont val="Arial Narrow"/>
        <family val="2"/>
        <charset val="1"/>
      </rPr>
      <t>E10 (</t>
    </r>
    <r>
      <rPr>
        <b/>
        <sz val="10"/>
        <color rgb="FF000000"/>
        <rFont val="Arial Narrow"/>
        <family val="2"/>
        <charset val="1"/>
      </rPr>
      <t>l)</t>
    </r>
  </si>
  <si>
    <r>
      <rPr>
        <b/>
        <sz val="10"/>
        <rFont val="Arial Narrow"/>
        <family val="2"/>
        <charset val="1"/>
      </rPr>
      <t>E85 (</t>
    </r>
    <r>
      <rPr>
        <b/>
        <sz val="10"/>
        <color rgb="FF000000"/>
        <rFont val="Arial Narrow"/>
        <family val="2"/>
        <charset val="1"/>
      </rPr>
      <t>l)</t>
    </r>
  </si>
  <si>
    <r>
      <rPr>
        <b/>
        <sz val="10"/>
        <rFont val="Arial Narrow"/>
        <family val="2"/>
        <charset val="1"/>
      </rPr>
      <t>E100 (</t>
    </r>
    <r>
      <rPr>
        <b/>
        <sz val="10"/>
        <color rgb="FF000000"/>
        <rFont val="Arial Narrow"/>
        <family val="2"/>
        <charset val="1"/>
      </rPr>
      <t>l)</t>
    </r>
  </si>
  <si>
    <r>
      <rPr>
        <b/>
        <sz val="10"/>
        <rFont val="Arial Narrow"/>
        <family val="2"/>
        <charset val="1"/>
      </rPr>
      <t>B7 (</t>
    </r>
    <r>
      <rPr>
        <b/>
        <sz val="10"/>
        <color rgb="FF000000"/>
        <rFont val="Arial Narrow"/>
        <family val="2"/>
        <charset val="1"/>
      </rPr>
      <t>l)</t>
    </r>
  </si>
  <si>
    <r>
      <rPr>
        <b/>
        <sz val="10"/>
        <rFont val="Arial Narrow"/>
        <family val="2"/>
        <charset val="1"/>
      </rPr>
      <t>B10 (</t>
    </r>
    <r>
      <rPr>
        <b/>
        <sz val="10"/>
        <color rgb="FF000000"/>
        <rFont val="Arial Narrow"/>
        <family val="2"/>
        <charset val="1"/>
      </rPr>
      <t>l)</t>
    </r>
  </si>
  <si>
    <r>
      <rPr>
        <b/>
        <sz val="10"/>
        <rFont val="Arial Narrow"/>
        <family val="2"/>
        <charset val="1"/>
      </rPr>
      <t>B20 (</t>
    </r>
    <r>
      <rPr>
        <b/>
        <sz val="10"/>
        <color rgb="FF000000"/>
        <rFont val="Arial Narrow"/>
        <family val="2"/>
        <charset val="1"/>
      </rPr>
      <t>l)</t>
    </r>
  </si>
  <si>
    <r>
      <rPr>
        <b/>
        <sz val="10"/>
        <rFont val="Arial Narrow"/>
        <family val="2"/>
        <charset val="1"/>
      </rPr>
      <t>B30 (</t>
    </r>
    <r>
      <rPr>
        <b/>
        <sz val="10"/>
        <color rgb="FF000000"/>
        <rFont val="Arial Narrow"/>
        <family val="2"/>
        <charset val="1"/>
      </rPr>
      <t>l)</t>
    </r>
  </si>
  <si>
    <r>
      <rPr>
        <b/>
        <sz val="10"/>
        <rFont val="Arial Narrow"/>
        <family val="2"/>
        <charset val="1"/>
      </rPr>
      <t>B100 (</t>
    </r>
    <r>
      <rPr>
        <b/>
        <sz val="10"/>
        <color rgb="FF000000"/>
        <rFont val="Arial Narrow"/>
        <family val="2"/>
        <charset val="1"/>
      </rPr>
      <t>l)</t>
    </r>
  </si>
  <si>
    <r>
      <rPr>
        <b/>
        <sz val="10"/>
        <rFont val="Arial Narrow"/>
        <family val="2"/>
        <charset val="1"/>
      </rPr>
      <t>XTL (</t>
    </r>
    <r>
      <rPr>
        <b/>
        <sz val="10"/>
        <color rgb="FF000000"/>
        <rFont val="Arial Narrow"/>
        <family val="2"/>
        <charset val="1"/>
      </rPr>
      <t>l)</t>
    </r>
  </si>
  <si>
    <r>
      <rPr>
        <b/>
        <sz val="10"/>
        <rFont val="Arial Narrow"/>
        <family val="2"/>
        <charset val="1"/>
      </rPr>
      <t>Gas natural (</t>
    </r>
    <r>
      <rPr>
        <b/>
        <sz val="10"/>
        <color rgb="FF000000"/>
        <rFont val="Arial Narrow"/>
        <family val="2"/>
        <charset val="1"/>
      </rPr>
      <t>kWh)*</t>
    </r>
  </si>
  <si>
    <r>
      <rPr>
        <b/>
        <sz val="10"/>
        <rFont val="Arial Narrow"/>
        <family val="2"/>
        <charset val="1"/>
      </rPr>
      <t>LNG (</t>
    </r>
    <r>
      <rPr>
        <b/>
        <sz val="10"/>
        <color rgb="FF000000"/>
        <rFont val="Arial Narrow"/>
        <family val="2"/>
        <charset val="1"/>
      </rPr>
      <t>kg)</t>
    </r>
  </si>
  <si>
    <r>
      <rPr>
        <b/>
        <sz val="10"/>
        <rFont val="Arial Narrow"/>
        <family val="2"/>
        <charset val="1"/>
      </rPr>
      <t>CNG (</t>
    </r>
    <r>
      <rPr>
        <b/>
        <sz val="10"/>
        <color rgb="FF000000"/>
        <rFont val="Arial Narrow"/>
        <family val="2"/>
        <charset val="1"/>
      </rPr>
      <t>kg)</t>
    </r>
  </si>
  <si>
    <r>
      <rPr>
        <b/>
        <sz val="10"/>
        <rFont val="Arial Narrow"/>
        <family val="2"/>
        <charset val="1"/>
      </rPr>
      <t>LNG (</t>
    </r>
    <r>
      <rPr>
        <b/>
        <sz val="10"/>
        <color rgb="FF000000"/>
        <rFont val="Arial Narrow"/>
        <family val="2"/>
        <charset val="1"/>
      </rPr>
      <t>kWh)*</t>
    </r>
  </si>
  <si>
    <r>
      <rPr>
        <b/>
        <sz val="10"/>
        <rFont val="Arial Narrow"/>
        <family val="2"/>
        <charset val="1"/>
      </rPr>
      <t>CNG (</t>
    </r>
    <r>
      <rPr>
        <b/>
        <sz val="10"/>
        <color rgb="FF000000"/>
        <rFont val="Arial Narrow"/>
        <family val="2"/>
        <charset val="1"/>
      </rPr>
      <t>kWh)*</t>
    </r>
  </si>
  <si>
    <r>
      <rPr>
        <b/>
        <sz val="10"/>
        <rFont val="Arial Narrow"/>
        <family val="2"/>
        <charset val="1"/>
      </rPr>
      <t>LPG (</t>
    </r>
    <r>
      <rPr>
        <b/>
        <sz val="10"/>
        <color rgb="FF000000"/>
        <rFont val="Arial Narrow"/>
        <family val="2"/>
        <charset val="1"/>
      </rPr>
      <t>l)</t>
    </r>
  </si>
  <si>
    <r>
      <rPr>
        <b/>
        <sz val="10"/>
        <rFont val="Arial Narrow"/>
        <family val="2"/>
        <charset val="1"/>
      </rPr>
      <t>H2</t>
    </r>
    <r>
      <rPr>
        <b/>
        <sz val="10"/>
        <color rgb="FF000000"/>
        <rFont val="Arial Narrow"/>
        <family val="2"/>
        <charset val="1"/>
      </rPr>
      <t xml:space="preserve"> (kg)</t>
    </r>
  </si>
  <si>
    <r>
      <rPr>
        <b/>
        <sz val="10"/>
        <rFont val="Arial Narrow"/>
        <family val="2"/>
        <charset val="1"/>
      </rPr>
      <t>Gas butano (</t>
    </r>
    <r>
      <rPr>
        <b/>
        <sz val="10"/>
        <color rgb="FF000000"/>
        <rFont val="Arial Narrow"/>
        <family val="2"/>
        <charset val="1"/>
      </rPr>
      <t>kg)</t>
    </r>
  </si>
  <si>
    <r>
      <rPr>
        <b/>
        <sz val="10"/>
        <rFont val="Arial Narrow"/>
        <family val="2"/>
        <charset val="1"/>
      </rPr>
      <t>Gas propano (</t>
    </r>
    <r>
      <rPr>
        <b/>
        <sz val="10"/>
        <color rgb="FF000000"/>
        <rFont val="Arial Narrow"/>
        <family val="2"/>
        <charset val="1"/>
      </rPr>
      <t>kg)</t>
    </r>
  </si>
  <si>
    <r>
      <rPr>
        <b/>
        <sz val="10"/>
        <rFont val="Arial Narrow"/>
        <family val="2"/>
        <charset val="1"/>
      </rPr>
      <t>Fuelóleo (</t>
    </r>
    <r>
      <rPr>
        <b/>
        <sz val="10"/>
        <color rgb="FF000000"/>
        <rFont val="Arial Narrow"/>
        <family val="2"/>
        <charset val="1"/>
      </rPr>
      <t>kg)</t>
    </r>
  </si>
  <si>
    <r>
      <rPr>
        <b/>
        <sz val="10"/>
        <rFont val="Arial Narrow"/>
        <family val="2"/>
        <charset val="1"/>
      </rPr>
      <t>Carbón nacional (</t>
    </r>
    <r>
      <rPr>
        <b/>
        <sz val="10"/>
        <color rgb="FF000000"/>
        <rFont val="Arial Narrow"/>
        <family val="2"/>
        <charset val="1"/>
      </rPr>
      <t>kg)</t>
    </r>
  </si>
  <si>
    <t>2_Combustibles fósiles</t>
  </si>
  <si>
    <t>(el año que viene habrá que restar 2010 e lugar de 2009)</t>
  </si>
  <si>
    <t>Combustible escogido</t>
  </si>
  <si>
    <t>Lista_Comb_fósiles_fijos</t>
  </si>
  <si>
    <t>Multiplicador
2011</t>
  </si>
  <si>
    <t>Multiplicador
2012</t>
  </si>
  <si>
    <t>Multiplicador
2013</t>
  </si>
  <si>
    <t>Multiplicador
2014</t>
  </si>
  <si>
    <t>Multiplicador
2015</t>
  </si>
  <si>
    <t>Multiplicador
2016</t>
  </si>
  <si>
    <t>Multiplicador
2017</t>
  </si>
  <si>
    <t>Multiplicador
2018</t>
  </si>
  <si>
    <t>Multiplicador
2019</t>
  </si>
  <si>
    <t>Multiplicador
2020</t>
  </si>
  <si>
    <t>Fórmula FE</t>
  </si>
  <si>
    <t>Fórmula</t>
  </si>
  <si>
    <t>Resultado Ins fijas</t>
  </si>
  <si>
    <t>Desplazamientos</t>
  </si>
  <si>
    <t>Propulsión escogida</t>
  </si>
  <si>
    <t>Lista tipo de 
combustible</t>
  </si>
  <si>
    <t>Fórmula B1</t>
  </si>
  <si>
    <t>Fórmula B2</t>
  </si>
  <si>
    <t>Resultado móviles</t>
  </si>
  <si>
    <t>3_Fluorados</t>
  </si>
  <si>
    <t>Refrigerante escogido</t>
  </si>
  <si>
    <t>Fórmula química</t>
  </si>
  <si>
    <t>Lista refrigerantes</t>
  </si>
  <si>
    <t>Fórmula PCA</t>
  </si>
  <si>
    <t>Resultado fluorados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</si>
  <si>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</si>
  <si>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</si>
  <si>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</si>
  <si>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</si>
  <si>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</si>
  <si>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</si>
  <si>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</si>
  <si>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</si>
  <si>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</si>
  <si>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</si>
  <si>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</si>
  <si>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</si>
  <si>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</si>
  <si>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</si>
  <si>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</si>
  <si>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</si>
  <si>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</si>
  <si>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</si>
  <si>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</si>
  <si>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</si>
  <si>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</si>
  <si>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</si>
  <si>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</si>
  <si>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</si>
  <si>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</si>
  <si>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</si>
  <si>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</si>
  <si>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</si>
  <si>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</si>
  <si>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</si>
  <si>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</si>
  <si>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</si>
  <si>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</si>
  <si>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</si>
  <si>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</si>
  <si>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</si>
  <si>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</si>
  <si>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</si>
  <si>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</si>
  <si>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</si>
  <si>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</si>
  <si>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</si>
  <si>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</si>
  <si>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</si>
  <si>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</si>
  <si>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</si>
  <si>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</si>
  <si>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</si>
  <si>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</si>
  <si>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</si>
  <si>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</si>
  <si>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</si>
  <si>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</si>
  <si>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</si>
  <si>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</si>
  <si>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</si>
  <si>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</si>
  <si>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</si>
  <si>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</si>
  <si>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</si>
  <si>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R-125/134a/600a/600/601a (50,5/47/0,9/1/0)</t>
  </si>
  <si>
    <t>R-424A</t>
  </si>
  <si>
    <t>R-134a/125/600/601a (93/5,1/1,3/0,6)</t>
  </si>
  <si>
    <t>R-426A</t>
  </si>
  <si>
    <t>R-32/125/143a/134a (15/25/10/50)</t>
  </si>
  <si>
    <t>R-427A</t>
  </si>
  <si>
    <t xml:space="preserve">R-125/143a/600a/290 (77,5/20/1,9/06)              </t>
  </si>
  <si>
    <t>R-428A</t>
  </si>
  <si>
    <t>R-125/143a/134a/600a (63,2/18/16/2,8)</t>
  </si>
  <si>
    <t>R-434A</t>
  </si>
  <si>
    <t>R-125/134a/600/601 (19,5/78,5/1,4/06)</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</si>
  <si>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</si>
  <si>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</si>
  <si>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</si>
  <si>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</si>
  <si>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</si>
  <si>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</si>
  <si>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</si>
  <si>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</si>
  <si>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</si>
  <si>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</si>
  <si>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</si>
  <si>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</si>
  <si>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</si>
  <si>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4_Electricidad</t>
  </si>
  <si>
    <t>GdO "varias" y "otras" (solo se despliega "No")</t>
  </si>
  <si>
    <t>GdO genérico, si se indica una comercializadora concreta (se despliegan las tres opciones)</t>
  </si>
  <si>
    <t>EDIFICIOS</t>
  </si>
  <si>
    <t>Extenderla</t>
  </si>
  <si>
    <t>Comercializadora escogida</t>
  </si>
  <si>
    <t>¿GdO?</t>
  </si>
  <si>
    <t>Fórmula Emisiones</t>
  </si>
  <si>
    <t>Para desplegable GdO_1; GdO_2</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</si>
  <si>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</si>
  <si>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</si>
  <si>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</si>
  <si>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</si>
  <si>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</si>
  <si>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</si>
  <si>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</si>
  <si>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</si>
  <si>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</si>
  <si>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</si>
  <si>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</si>
  <si>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</si>
  <si>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</si>
  <si>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</si>
  <si>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</si>
  <si>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</si>
  <si>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</si>
  <si>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</si>
  <si>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</si>
  <si>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</si>
  <si>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</si>
  <si>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Fórmula Comercializadoras por año</t>
  </si>
  <si>
    <t>Fórmula Mix Comercializadoras por año</t>
  </si>
  <si>
    <t>GdO energía renovable</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</si>
  <si>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</si>
  <si>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</si>
  <si>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</si>
  <si>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</si>
  <si>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</si>
  <si>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</si>
  <si>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</si>
  <si>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</si>
  <si>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</si>
  <si>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</si>
  <si>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</si>
  <si>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</si>
  <si>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</si>
  <si>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</si>
  <si>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</si>
  <si>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</si>
  <si>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</si>
  <si>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</si>
  <si>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</si>
  <si>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</si>
  <si>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</si>
  <si>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</si>
  <si>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</si>
  <si>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</si>
  <si>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</si>
  <si>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</si>
  <si>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</si>
  <si>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</si>
  <si>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</si>
  <si>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</si>
  <si>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</si>
  <si>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</si>
  <si>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</si>
  <si>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</si>
  <si>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</si>
  <si>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</si>
  <si>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</si>
  <si>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</si>
  <si>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</si>
  <si>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</si>
  <si>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</si>
  <si>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</si>
  <si>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</si>
  <si>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</si>
  <si>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</si>
  <si>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</si>
  <si>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</si>
  <si>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</si>
  <si>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</si>
  <si>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</si>
  <si>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</si>
  <si>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</si>
  <si>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</si>
  <si>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</si>
  <si>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</si>
  <si>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</si>
  <si>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</si>
  <si>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</si>
  <si>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</si>
  <si>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</si>
  <si>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</si>
  <si>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</si>
  <si>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</si>
  <si>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</si>
  <si>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</si>
  <si>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</si>
  <si>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</si>
  <si>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</si>
  <si>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</si>
  <si>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</si>
  <si>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</si>
  <si>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</si>
  <si>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</si>
  <si>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</si>
  <si>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</si>
  <si>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</si>
  <si>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</si>
  <si>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</si>
  <si>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</si>
  <si>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</si>
  <si>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</si>
  <si>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</si>
  <si>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</si>
  <si>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</si>
  <si>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</si>
  <si>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</si>
  <si>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</si>
  <si>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</si>
  <si>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</si>
  <si>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</si>
  <si>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</si>
  <si>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</si>
  <si>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</si>
  <si>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</si>
  <si>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</si>
  <si>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</si>
  <si>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</si>
  <si>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</si>
  <si>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</si>
  <si>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</si>
  <si>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</si>
  <si>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</si>
  <si>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</si>
  <si>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</si>
  <si>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</si>
  <si>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</si>
  <si>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</si>
  <si>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</si>
  <si>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</si>
  <si>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</si>
  <si>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</si>
  <si>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</si>
  <si>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</si>
  <si>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</si>
  <si>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</si>
  <si>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</si>
  <si>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</si>
  <si>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</si>
  <si>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</si>
  <si>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</si>
  <si>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</si>
  <si>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</si>
  <si>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</si>
  <si>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</si>
  <si>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</si>
  <si>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</si>
  <si>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</si>
  <si>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</si>
  <si>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</si>
  <si>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</si>
  <si>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</si>
  <si>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</si>
  <si>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</si>
  <si>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</si>
  <si>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</si>
  <si>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</si>
  <si>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</si>
  <si>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</si>
  <si>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</si>
  <si>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</si>
  <si>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</si>
  <si>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</si>
  <si>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</si>
  <si>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</si>
  <si>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</si>
  <si>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</si>
  <si>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</si>
  <si>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</si>
  <si>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</si>
  <si>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</si>
  <si>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</si>
  <si>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</si>
  <si>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</si>
  <si>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</si>
  <si>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</si>
  <si>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</si>
  <si>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</si>
  <si>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</si>
  <si>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</si>
  <si>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</si>
  <si>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</si>
  <si>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</si>
  <si>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</si>
  <si>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</si>
  <si>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</si>
  <si>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</si>
  <si>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</si>
  <si>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</si>
  <si>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</si>
  <si>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</si>
  <si>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</si>
  <si>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</si>
  <si>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</si>
  <si>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</si>
  <si>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</si>
  <si>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</si>
  <si>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</si>
  <si>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</si>
  <si>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</si>
  <si>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</si>
  <si>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</si>
  <si>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</si>
  <si>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</si>
  <si>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</si>
  <si>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</si>
  <si>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</si>
  <si>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</si>
  <si>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</si>
  <si>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</si>
  <si>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</si>
  <si>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</si>
  <si>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</si>
  <si>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</si>
  <si>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</si>
  <si>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</si>
  <si>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</si>
  <si>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</si>
  <si>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</si>
  <si>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</si>
  <si>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</si>
  <si>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</si>
  <si>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</si>
  <si>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</si>
  <si>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</si>
  <si>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</si>
  <si>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</si>
  <si>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</si>
  <si>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</si>
  <si>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</si>
  <si>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</si>
  <si>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</si>
  <si>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</si>
  <si>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</si>
  <si>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</si>
  <si>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</si>
  <si>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</si>
  <si>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</si>
  <si>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</si>
  <si>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</si>
  <si>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</si>
  <si>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</si>
  <si>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</si>
  <si>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</si>
  <si>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</si>
  <si>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</si>
  <si>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</si>
  <si>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</si>
  <si>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</si>
  <si>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</si>
  <si>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</si>
  <si>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</si>
  <si>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</si>
  <si>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</si>
  <si>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</si>
  <si>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</si>
  <si>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</si>
  <si>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</si>
  <si>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</si>
  <si>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</si>
  <si>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</si>
  <si>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</si>
  <si>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</si>
  <si>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</si>
  <si>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</si>
  <si>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</si>
  <si>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</si>
  <si>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</si>
  <si>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</si>
  <si>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</si>
  <si>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</si>
  <si>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</si>
  <si>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</si>
  <si>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</si>
  <si>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</si>
  <si>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</si>
  <si>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</si>
  <si>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</si>
  <si>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</si>
  <si>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</si>
  <si>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</si>
  <si>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</si>
  <si>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</si>
  <si>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</si>
  <si>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</si>
  <si>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</si>
  <si>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</si>
  <si>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</si>
  <si>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</si>
  <si>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</si>
  <si>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</si>
  <si>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</si>
  <si>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</si>
  <si>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</si>
  <si>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</si>
  <si>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</si>
  <si>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</si>
  <si>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</si>
  <si>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</si>
  <si>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</si>
  <si>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</si>
  <si>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</si>
  <si>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</si>
  <si>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</si>
  <si>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</si>
  <si>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</si>
  <si>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</si>
  <si>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</si>
  <si>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</si>
  <si>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</si>
  <si>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</si>
  <si>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</si>
  <si>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</si>
  <si>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</si>
  <si>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</si>
  <si>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</si>
  <si>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</si>
  <si>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</si>
  <si>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</si>
  <si>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</si>
  <si>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</si>
  <si>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</si>
  <si>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</si>
  <si>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</si>
  <si>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</si>
  <si>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</si>
  <si>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</si>
  <si>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</si>
  <si>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</si>
  <si>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</si>
  <si>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</si>
  <si>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</si>
  <si>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</si>
  <si>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</si>
  <si>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</si>
  <si>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</si>
  <si>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</si>
  <si>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</si>
  <si>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</si>
  <si>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</si>
  <si>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</si>
  <si>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</si>
  <si>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</si>
  <si>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</si>
  <si>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</si>
  <si>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</si>
  <si>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</si>
  <si>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</si>
  <si>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</si>
  <si>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</si>
  <si>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</si>
  <si>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</si>
  <si>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</si>
  <si>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</si>
  <si>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</si>
  <si>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</si>
  <si>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</si>
  <si>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</si>
  <si>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</si>
  <si>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</si>
  <si>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</si>
  <si>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</si>
  <si>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</si>
  <si>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</si>
  <si>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</si>
  <si>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</si>
  <si>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</si>
  <si>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</si>
  <si>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</si>
  <si>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</si>
  <si>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</si>
  <si>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</si>
  <si>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</si>
  <si>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</si>
  <si>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</si>
  <si>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</si>
  <si>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</si>
  <si>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</si>
  <si>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</si>
  <si>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</si>
  <si>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</si>
  <si>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</si>
  <si>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</si>
  <si>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</si>
  <si>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</si>
  <si>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</si>
  <si>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</si>
  <si>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</si>
  <si>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</si>
  <si>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</si>
  <si>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VEHÍCULOS</t>
  </si>
  <si>
    <t>Resultado electricidad</t>
  </si>
  <si>
    <t>5_Información adicional</t>
  </si>
  <si>
    <t>Lista tipo 
de ER</t>
  </si>
  <si>
    <t>Lista tipo de biomasa</t>
  </si>
  <si>
    <t>Biomásica</t>
  </si>
  <si>
    <t>Astillas</t>
  </si>
  <si>
    <t>Eólica</t>
  </si>
  <si>
    <t>Carbón vegetal</t>
  </si>
  <si>
    <t>Geotérmica</t>
  </si>
  <si>
    <t>Madera</t>
  </si>
  <si>
    <t>Hidráulica</t>
  </si>
  <si>
    <t>Pélet</t>
  </si>
  <si>
    <t>Solar</t>
  </si>
  <si>
    <t>Residuos agrícolas</t>
  </si>
  <si>
    <t>Residuos de madera</t>
  </si>
  <si>
    <t>6_Resultados</t>
  </si>
  <si>
    <t>Nombre organización</t>
  </si>
  <si>
    <t>Sector actividad</t>
  </si>
  <si>
    <t>Año</t>
  </si>
  <si>
    <t>Resultado huella 1+2</t>
  </si>
  <si>
    <t>Año de cálc.</t>
  </si>
  <si>
    <t>Índice de actividad</t>
  </si>
  <si>
    <t>redondear a 2 decimales</t>
  </si>
  <si>
    <t>m2</t>
  </si>
  <si>
    <t>Emisiones absolutas (t CO2)</t>
  </si>
  <si>
    <t>HC SEGÚN ALCANCES (tCO2)</t>
  </si>
  <si>
    <t>Alcance 1</t>
  </si>
  <si>
    <t>Alcance 2</t>
  </si>
  <si>
    <t>Distribución alcance 1</t>
  </si>
  <si>
    <t>Climatización</t>
  </si>
  <si>
    <t>Transporte</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</si>
  <si>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</si>
  <si>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</si>
  <si>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</si>
  <si>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</si>
  <si>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</si>
  <si>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</si>
  <si>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</si>
  <si>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</si>
  <si>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</si>
  <si>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Celda vacía</t>
  </si>
  <si>
    <t>Resultados por sedes</t>
  </si>
  <si>
    <t xml:space="preserve">Nombre sede </t>
  </si>
  <si>
    <t>Nombres únicos</t>
  </si>
  <si>
    <t>Unión nombres únicos</t>
  </si>
  <si>
    <t>No extender</t>
  </si>
  <si>
    <t>Extender desde aquí</t>
  </si>
  <si>
    <t>ANY</t>
  </si>
  <si>
    <t>CONSUM TOTAL ELECTRICITAT ILLES BALEARS</t>
  </si>
  <si>
    <t>CONSUM NO RENOVABLE ILLES BALEARS</t>
  </si>
  <si>
    <t>CONSUM RENOVABLE ILLES BALEARS (energia subministrada per comercialitzadores 100% verdes)</t>
  </si>
  <si>
    <t>ENERGIA IMPORTADA PENÍNSULA</t>
  </si>
  <si>
    <t>FACTOR EMISSIÓ PENINSULAR</t>
  </si>
  <si>
    <t>FACTOR EMISSIÓ GENÈRIC ESPANYA</t>
  </si>
  <si>
    <t>FACTOR EMISSIÓ SENSE GDO ESPANYA</t>
  </si>
  <si>
    <t>PERCENTATGE ENERGIA AMB SISTEMA DE GDO</t>
  </si>
  <si>
    <t xml:space="preserve">EMISSIONS INDÚSTRIAS SECTOR ENERGÈTIC, CRF </t>
  </si>
  <si>
    <t>FACTORS EMISSIÓ ILLES BALEARS</t>
  </si>
  <si>
    <t>tep</t>
  </si>
  <si>
    <t>MWh</t>
  </si>
  <si>
    <t>kgCO2/kWh</t>
  </si>
  <si>
    <t>%</t>
  </si>
  <si>
    <t>kt CO2 eq</t>
  </si>
  <si>
    <t>t SOx</t>
  </si>
  <si>
    <t>t NOx</t>
  </si>
  <si>
    <t>t PST</t>
  </si>
  <si>
    <t>FIB total mix</t>
  </si>
  <si>
    <t>FIB no renovable</t>
  </si>
  <si>
    <t>FEVC</t>
  </si>
  <si>
    <t>FEVCIB</t>
  </si>
  <si>
    <t>g SOx/kWh</t>
  </si>
  <si>
    <t>g NOx/kWh</t>
  </si>
  <si>
    <t>g Partic./kWh</t>
  </si>
  <si>
    <t>6_Resultados IB</t>
  </si>
  <si>
    <t>kg CO2eq/kWh</t>
  </si>
  <si>
    <t>*</t>
  </si>
  <si>
    <t>GdO origen renovable Illes Balears</t>
  </si>
  <si>
    <t>4_Electricidad Illes Balears</t>
  </si>
  <si>
    <t>Celda I20</t>
  </si>
  <si>
    <t>Celda I21</t>
  </si>
  <si>
    <t>Celda I22</t>
  </si>
  <si>
    <t>Celda I23</t>
  </si>
  <si>
    <t>Celda I24</t>
  </si>
  <si>
    <t>Celda I25</t>
  </si>
  <si>
    <t>Celda I26</t>
  </si>
  <si>
    <t>Celda I27</t>
  </si>
  <si>
    <t>Celda I28</t>
  </si>
  <si>
    <t>Celda I29</t>
  </si>
  <si>
    <t>Celda I30</t>
  </si>
  <si>
    <t>Celda I31</t>
  </si>
  <si>
    <t>Celda I32</t>
  </si>
  <si>
    <t>Celda I33</t>
  </si>
  <si>
    <t>Celda I34</t>
  </si>
  <si>
    <t>Dióxido de carbono (CO2)</t>
  </si>
  <si>
    <t>Celda I35</t>
  </si>
  <si>
    <t>Celda I36</t>
  </si>
  <si>
    <t>Proceso</t>
  </si>
  <si>
    <t>Óxido nitroso (N2O)</t>
  </si>
  <si>
    <t>Celda I37</t>
  </si>
  <si>
    <t>Celda I38</t>
  </si>
  <si>
    <t>Celda I39</t>
  </si>
  <si>
    <t>Celda I40</t>
  </si>
  <si>
    <t>Celda I41</t>
  </si>
  <si>
    <t>Celda I49</t>
  </si>
  <si>
    <t>Celda I50</t>
  </si>
  <si>
    <t>Celda I51</t>
  </si>
  <si>
    <t>Celda I52</t>
  </si>
  <si>
    <t>Celda I53</t>
  </si>
  <si>
    <t>Celda I54</t>
  </si>
  <si>
    <t>Celda I55</t>
  </si>
  <si>
    <t>Celda I56</t>
  </si>
  <si>
    <t>Celda I57</t>
  </si>
  <si>
    <t>Celda I58</t>
  </si>
  <si>
    <t>Celda I59</t>
  </si>
  <si>
    <t>Celda I60</t>
  </si>
  <si>
    <t>Celda I61</t>
  </si>
  <si>
    <t>Celda I62</t>
  </si>
  <si>
    <t>Celda I63</t>
  </si>
  <si>
    <t>Celda I64</t>
  </si>
  <si>
    <t>Celda I65</t>
  </si>
  <si>
    <t>Celda I66</t>
  </si>
  <si>
    <t>Celda I67</t>
  </si>
  <si>
    <t>Celda I68</t>
  </si>
  <si>
    <t>Illes Balears</t>
  </si>
  <si>
    <t>España</t>
  </si>
  <si>
    <t>Valor numérico
Illes Balears</t>
  </si>
  <si>
    <t>Valor numérico
España</t>
  </si>
  <si>
    <t>Cantidad total
Illes Balears (kWh)</t>
  </si>
  <si>
    <t>Cantidad total 
Illes Balears (kg)</t>
  </si>
  <si>
    <t>Cantidades parciales
en Illes Balears (kg)</t>
  </si>
  <si>
    <t>Huella de carbono Alcance 2: Electricidad registro español</t>
  </si>
  <si>
    <t>Informe final: Resultados registro balear</t>
  </si>
  <si>
    <t>Informe final: Resultados registro español</t>
  </si>
  <si>
    <t>Huella de carbono Alcance 1: Fugas de gases fluorados</t>
  </si>
  <si>
    <r>
      <t>Resultados en tCO</t>
    </r>
    <r>
      <rPr>
        <b/>
        <i/>
        <vertAlign val="subscript"/>
        <sz val="13"/>
        <color rgb="FF0070C0"/>
        <rFont val="Arial Narrow"/>
        <family val="2"/>
        <charset val="1"/>
      </rPr>
      <t>2</t>
    </r>
    <r>
      <rPr>
        <b/>
        <i/>
        <sz val="13"/>
        <color rgb="FF0070C0"/>
        <rFont val="Arial Narrow"/>
        <family val="2"/>
        <charset val="1"/>
      </rPr>
      <t>eq (</t>
    </r>
    <r>
      <rPr>
        <b/>
        <i/>
        <u/>
        <sz val="13"/>
        <color rgb="FF0070C0"/>
        <rFont val="Arial Narrow"/>
        <family val="2"/>
        <charset val="1"/>
      </rPr>
      <t>resultados a introducir en el formulario de solicitud de inscripción)</t>
    </r>
  </si>
  <si>
    <r>
      <t>kg CO</t>
    </r>
    <r>
      <rPr>
        <b/>
        <vertAlign val="subscript"/>
        <sz val="10"/>
        <color rgb="FF000000"/>
        <rFont val="Arial Narrow"/>
        <family val="2"/>
        <charset val="1"/>
      </rPr>
      <t>2</t>
    </r>
    <r>
      <rPr>
        <b/>
        <sz val="10"/>
        <color rgb="FF000000"/>
        <rFont val="Arial Narrow"/>
        <family val="2"/>
      </rPr>
      <t>eq</t>
    </r>
  </si>
  <si>
    <r>
      <t>kg CO</t>
    </r>
    <r>
      <rPr>
        <b/>
        <vertAlign val="subscript"/>
        <sz val="10"/>
        <rFont val="Arial Narrow"/>
        <family val="2"/>
        <charset val="1"/>
      </rPr>
      <t>2</t>
    </r>
    <r>
      <rPr>
        <b/>
        <sz val="10"/>
        <rFont val="Arial Narrow"/>
        <family val="2"/>
      </rPr>
      <t>eq</t>
    </r>
  </si>
  <si>
    <r>
      <t>kg CO</t>
    </r>
    <r>
      <rPr>
        <b/>
        <vertAlign val="subscript"/>
        <sz val="11"/>
        <rFont val="Arial Narrow"/>
        <family val="2"/>
        <charset val="1"/>
      </rPr>
      <t>2</t>
    </r>
    <r>
      <rPr>
        <b/>
        <sz val="11"/>
        <rFont val="Arial Narrow"/>
        <family val="2"/>
      </rPr>
      <t>eq</t>
    </r>
  </si>
  <si>
    <t>Densidad (kg/l)</t>
  </si>
  <si>
    <t>Poder calorífico (kWh/kg)</t>
  </si>
  <si>
    <t>Factor kg CH4 / kWh</t>
  </si>
  <si>
    <t>Factor kg N2O / kWh</t>
  </si>
  <si>
    <t>Factor kgCH4/ud.</t>
  </si>
  <si>
    <t>Factor kgN2O/ud.</t>
  </si>
  <si>
    <t>Año 2020</t>
  </si>
  <si>
    <r>
      <t>Emisiones parciales
en Illes Balears (kg CO</t>
    </r>
    <r>
      <rPr>
        <b/>
        <vertAlign val="subscript"/>
        <sz val="10"/>
        <color rgb="FFFFFFFF"/>
        <rFont val="Arial Narrow"/>
        <family val="2"/>
        <charset val="1"/>
      </rPr>
      <t>2</t>
    </r>
    <r>
      <rPr>
        <b/>
        <sz val="10"/>
        <color rgb="FFFFFFFF"/>
        <rFont val="Arial Narrow"/>
        <family val="2"/>
        <charset val="1"/>
      </rPr>
      <t>eq)</t>
    </r>
  </si>
  <si>
    <r>
      <t>Emisiones parciales
(kg CO</t>
    </r>
    <r>
      <rPr>
        <b/>
        <vertAlign val="subscript"/>
        <sz val="10"/>
        <color rgb="FFFFFFFF"/>
        <rFont val="Arial Narrow"/>
        <family val="2"/>
        <charset val="1"/>
      </rPr>
      <t>2</t>
    </r>
    <r>
      <rPr>
        <b/>
        <sz val="10"/>
        <color rgb="FFFFFFFF"/>
        <rFont val="Arial Narrow"/>
        <family val="2"/>
        <charset val="1"/>
      </rPr>
      <t xml:space="preserve">eq) </t>
    </r>
  </si>
  <si>
    <r>
      <t>EMISIONES 
TOTALES INSTALAC. FIJAS SITUADAS EN LAS 
ILLES BALEARS (kg CO</t>
    </r>
    <r>
      <rPr>
        <b/>
        <vertAlign val="subscript"/>
        <sz val="9"/>
        <color rgb="FFFFFFFF"/>
        <rFont val="Arial Narrow"/>
        <family val="2"/>
        <charset val="1"/>
      </rPr>
      <t>2</t>
    </r>
    <r>
      <rPr>
        <b/>
        <sz val="9"/>
        <color rgb="FFFFFFFF"/>
        <rFont val="Arial Narrow"/>
        <family val="2"/>
        <charset val="1"/>
      </rPr>
      <t xml:space="preserve">eq) </t>
    </r>
  </si>
  <si>
    <r>
      <t>EMISIONES 
TOTALES INSTALAC. FIJAS
 (kg CO</t>
    </r>
    <r>
      <rPr>
        <b/>
        <vertAlign val="subscript"/>
        <sz val="9"/>
        <color rgb="FFFFFFFF"/>
        <rFont val="Arial Narrow"/>
        <family val="2"/>
        <charset val="1"/>
      </rPr>
      <t>2</t>
    </r>
    <r>
      <rPr>
        <b/>
        <sz val="9"/>
        <color rgb="FFFFFFFF"/>
        <rFont val="Arial Narrow"/>
        <family val="2"/>
        <charset val="1"/>
      </rPr>
      <t xml:space="preserve">eq) </t>
    </r>
  </si>
  <si>
    <r>
      <t>Otros
(kg CO</t>
    </r>
    <r>
      <rPr>
        <b/>
        <vertAlign val="subscript"/>
        <sz val="10"/>
        <color rgb="FFFFFFFF"/>
        <rFont val="Arial Narrow"/>
        <family val="2"/>
      </rPr>
      <t>2</t>
    </r>
    <r>
      <rPr>
        <b/>
        <sz val="10"/>
        <color rgb="FFFFFFFF"/>
        <rFont val="Arial Narrow"/>
        <family val="2"/>
        <charset val="1"/>
      </rPr>
      <t>eq/ud)</t>
    </r>
  </si>
  <si>
    <t>Fórmula FE N2O</t>
  </si>
  <si>
    <t>Fórmula FE CH4</t>
  </si>
  <si>
    <t>Emisiones CH4 en kgCO2eq</t>
  </si>
  <si>
    <t>Emisiones N2O en kgCO2eq</t>
  </si>
  <si>
    <r>
      <t>Factor emisión 
(kg CO</t>
    </r>
    <r>
      <rPr>
        <b/>
        <vertAlign val="subscript"/>
        <sz val="10"/>
        <color rgb="FFFFFFFF"/>
        <rFont val="Arial Narrow"/>
        <family val="2"/>
        <charset val="1"/>
      </rPr>
      <t>2</t>
    </r>
    <r>
      <rPr>
        <b/>
        <sz val="10"/>
        <color rgb="FFFFFFFF"/>
        <rFont val="Arial Narrow"/>
        <family val="2"/>
        <charset val="1"/>
      </rPr>
      <t>/ud)</t>
    </r>
  </si>
  <si>
    <r>
      <t>Factor emisión 
(kg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/ud)</t>
    </r>
  </si>
  <si>
    <r>
      <t>Factor emisión 
(kg CH</t>
    </r>
    <r>
      <rPr>
        <b/>
        <vertAlign val="subscript"/>
        <sz val="10"/>
        <color rgb="FFFFFFFF"/>
        <rFont val="Arial Narrow"/>
        <family val="2"/>
      </rPr>
      <t>4</t>
    </r>
    <r>
      <rPr>
        <b/>
        <sz val="10"/>
        <color rgb="FFFFFFFF"/>
        <rFont val="Arial Narrow"/>
        <family val="2"/>
        <charset val="1"/>
      </rPr>
      <t>/ud)</t>
    </r>
  </si>
  <si>
    <t>Total con FE por defecto kgCO2eq</t>
  </si>
  <si>
    <t>Multiplicador
CH4 y N2O</t>
  </si>
  <si>
    <r>
      <t>Emisiones totales
en Illes Balears
(kg CO</t>
    </r>
    <r>
      <rPr>
        <b/>
        <vertAlign val="subscript"/>
        <sz val="10"/>
        <color rgb="FFFFFFFF"/>
        <rFont val="Arial Narrow"/>
        <family val="2"/>
        <charset val="1"/>
      </rPr>
      <t>2</t>
    </r>
    <r>
      <rPr>
        <b/>
        <sz val="10"/>
        <color rgb="FFFFFFFF"/>
        <rFont val="Arial Narrow"/>
        <family val="2"/>
        <charset val="1"/>
      </rPr>
      <t>eq)</t>
    </r>
  </si>
  <si>
    <t>Cumplimentar en caso de que la organización disponga de equipos de refrigeración y/o climatización que utilicen gases refrigerantes fluorados y de que se haya detectado que se han producido fugas (ya sea por su uso, un accidente, etc.) de estos gases en los mismos. También se incluye en este apartado las emisiones de SF6 (emisiones producidas principalmente en equipos eléctricos de media y alta tensión)</t>
  </si>
  <si>
    <r>
      <t>Emisiones parciales
B.1 en Illes Balears
(kg CO</t>
    </r>
    <r>
      <rPr>
        <b/>
        <vertAlign val="subscript"/>
        <sz val="10"/>
        <color rgb="FFFFFFFF"/>
        <rFont val="Arial Narrow"/>
        <family val="2"/>
        <charset val="1"/>
      </rPr>
      <t>2</t>
    </r>
    <r>
      <rPr>
        <b/>
        <sz val="10"/>
        <color rgb="FFFFFFFF"/>
        <rFont val="Arial Narrow"/>
        <family val="2"/>
        <charset val="1"/>
      </rPr>
      <t>eq)</t>
    </r>
  </si>
  <si>
    <r>
      <t>Emisiones parciales B.1 
(kg CO</t>
    </r>
    <r>
      <rPr>
        <b/>
        <vertAlign val="subscript"/>
        <sz val="11"/>
        <color rgb="FFFFFFFF"/>
        <rFont val="Arial Narrow"/>
        <family val="2"/>
        <charset val="1"/>
      </rPr>
      <t>2</t>
    </r>
    <r>
      <rPr>
        <b/>
        <sz val="11"/>
        <color rgb="FFFFFFFF"/>
        <rFont val="Arial Narrow"/>
        <family val="2"/>
        <charset val="1"/>
      </rPr>
      <t>eq)</t>
    </r>
  </si>
  <si>
    <r>
      <t>Emisiones parciales
B.2 en Illes Balears
(kg CO</t>
    </r>
    <r>
      <rPr>
        <b/>
        <vertAlign val="subscript"/>
        <sz val="10"/>
        <color rgb="FFFFFFFF"/>
        <rFont val="Arial Narrow"/>
        <family val="2"/>
        <charset val="1"/>
      </rPr>
      <t>2</t>
    </r>
    <r>
      <rPr>
        <b/>
        <sz val="10"/>
        <color rgb="FFFFFFFF"/>
        <rFont val="Arial Narrow"/>
        <family val="2"/>
        <charset val="1"/>
      </rPr>
      <t>eq)</t>
    </r>
  </si>
  <si>
    <r>
      <t>Emisiones parciales B.2 
(kg CO</t>
    </r>
    <r>
      <rPr>
        <b/>
        <vertAlign val="subscript"/>
        <sz val="11"/>
        <color rgb="FFFFFFFF"/>
        <rFont val="Arial Narrow"/>
        <family val="2"/>
        <charset val="1"/>
      </rPr>
      <t>2</t>
    </r>
    <r>
      <rPr>
        <b/>
        <sz val="11"/>
        <color rgb="FFFFFFFF"/>
        <rFont val="Arial Narrow"/>
        <family val="2"/>
        <charset val="1"/>
      </rPr>
      <t>eq)</t>
    </r>
  </si>
  <si>
    <r>
      <t>EMISIONES TOTALES
TRANSPORTE EN LAS
ILLES BALEARS
(kg CO</t>
    </r>
    <r>
      <rPr>
        <b/>
        <vertAlign val="subscript"/>
        <sz val="10"/>
        <color rgb="FFFFFFFF"/>
        <rFont val="Arial Narrow"/>
        <family val="2"/>
        <charset val="1"/>
      </rPr>
      <t>2</t>
    </r>
    <r>
      <rPr>
        <b/>
        <sz val="10"/>
        <color rgb="FFFFFFFF"/>
        <rFont val="Arial Narrow"/>
        <family val="2"/>
        <charset val="1"/>
      </rPr>
      <t>eq)</t>
    </r>
  </si>
  <si>
    <r>
      <t>EMISIONES 
TOTALES TRANSPORTE
(kg CO</t>
    </r>
    <r>
      <rPr>
        <b/>
        <vertAlign val="subscript"/>
        <sz val="10"/>
        <color rgb="FFFFFFFF"/>
        <rFont val="Arial Narrow"/>
        <family val="2"/>
        <charset val="1"/>
      </rPr>
      <t>2</t>
    </r>
    <r>
      <rPr>
        <b/>
        <sz val="10"/>
        <color rgb="FFFFFFFF"/>
        <rFont val="Arial Narrow"/>
        <family val="2"/>
        <charset val="1"/>
      </rPr>
      <t>eq)</t>
    </r>
  </si>
  <si>
    <r>
      <t xml:space="preserve">PCA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rPr>
      <t>eq</t>
    </r>
    <r>
      <rPr>
        <b/>
        <sz val="9"/>
        <color rgb="FFFFFFFF"/>
        <rFont val="Arial Narrow"/>
        <family val="2"/>
        <charset val="1"/>
      </rPr>
      <t>/kg GEI)</t>
    </r>
  </si>
  <si>
    <r>
      <t>Emisiones parciales
(kg CO</t>
    </r>
    <r>
      <rPr>
        <b/>
        <vertAlign val="subscript"/>
        <sz val="11"/>
        <color rgb="FFFFFFFF"/>
        <rFont val="Arial Narrow"/>
        <family val="2"/>
        <charset val="1"/>
      </rPr>
      <t>2</t>
    </r>
    <r>
      <rPr>
        <b/>
        <sz val="11"/>
        <color rgb="FFFFFFFF"/>
        <rFont val="Arial Narrow"/>
        <family val="2"/>
        <charset val="1"/>
      </rPr>
      <t>eq)</t>
    </r>
  </si>
  <si>
    <r>
      <t>Emisiones totales
(kg CO</t>
    </r>
    <r>
      <rPr>
        <b/>
        <vertAlign val="subscript"/>
        <sz val="11"/>
        <color rgb="FFFFFFFF"/>
        <rFont val="Arial Narrow"/>
        <family val="2"/>
        <charset val="1"/>
      </rPr>
      <t>2</t>
    </r>
    <r>
      <rPr>
        <b/>
        <sz val="11"/>
        <color rgb="FFFFFFFF"/>
        <rFont val="Arial Narrow"/>
        <family val="2"/>
        <charset val="1"/>
      </rPr>
      <t>eq)</t>
    </r>
  </si>
  <si>
    <t>Cumplimentar en caso de que la organización, para el desarrollo de su actividad, realice procesos con emisiones de GEI asociadas a actividades biológicas, mecánicas u otras que no provienen  de la combustión directa de combustibles fósiles o de fugas de equipos y sistemas de almacenamiento y transporte. Esta categoría comprende los siguientes procesos:
A. Procesos industriales (descarbonatación de la cal durante la producción de cemento, venteo, refinamiento de aceite y gas, etc.).
B. Procesos agrícolas (putrefacción y fermentación, estiércol, ganado, purines, aplicación de fertilizantes de nitrógeno, etc.).
C. Procesos de tratamiento de residuos y de aguas residuales.</t>
  </si>
  <si>
    <t>Edificio / Sede
asociado al vehículo</t>
  </si>
  <si>
    <t>emissions1</t>
  </si>
  <si>
    <t>emisiones1</t>
  </si>
  <si>
    <t>emissions2</t>
  </si>
  <si>
    <t>emisiones2</t>
  </si>
  <si>
    <t>RESULTADOS POR EDIFICIO / SEDE</t>
  </si>
  <si>
    <t>Vehículos combustión</t>
  </si>
  <si>
    <t>* Se excluyen las emisiones de los vehículos.</t>
  </si>
  <si>
    <t>* Las emisiones debido al consumo de vehículos eléctricos / híbridos enchufables se incluyen en el Alcance 2 - Electricidad</t>
  </si>
  <si>
    <t>A partir del día 1 de enero de 2022, entra en vigor el Decreto 48/2021 de 13 de diciembre, regulador del Registro balear de huella de carbono que obliga a las medias y grandes empresas que cuenten con centros de trabajo situados en el territorio de las Islas Baleares, y a la Administración Autonómica a declarar el alcance 1 y 2 de su huella de carbono.
Por este motivo, se pone a disposición del usuario la herramienta CALCULADORA DE LA HUELLA DE CARBONO De ALCANCE 1+2 POR ORGANIZACIONES 2020 diseñada para calcular las emisiones de gases de efecto invernadero (GEH) asociadas a las actividades de una organización, empresa o administración, tanto las emisiones directas (Alcance 1) como las emisiones indirectas debidas al consumo de electricidad (Alcance 2) siguiendo la metodología y procedimiento de cálculo basado en la norma UNE-EN ISO 14064-1.
Esta calculadora se ha elaborado a partir de la Calculadora de huella de carbono de organización – Alcance 1+2 publicada por el Ministerio para la Transición Ecológica y el Reto Demográfico (MITERD) en su página web en la versión V.22 de abril de 2021 y sirve al usuario para obtener simultáneamente los datos de cálculo requeridas tanto al registro balear como al registro estatal.</t>
  </si>
  <si>
    <r>
      <t xml:space="preserve">En el siguiente cuadro tendrá que reflejar si la electricidad contratada dispone de </t>
    </r>
    <r>
      <rPr>
        <b/>
        <sz val="11"/>
        <color rgb="FF376092"/>
        <rFont val="Arial Narrow"/>
        <family val="2"/>
        <charset val="1"/>
      </rPr>
      <t>certificado de Garantía de Origen (GdO) con procedencia de instalaciones situadas en las Illes Balears. Los dos posibles valores que puede tomar el factor de emisión son:
- Si la energía se produce a partir de una instalación de generación situada en las Islas Baleares, la opción a escoger es GdO origen renovale Illes Balears. Se deberá acreditar que el origen de la energía proviene de instalaciones productoras situadas en las Illes Balears. En este caso, el factor de emisión que se aplica es igual a cero.
- Para los demás tipos de contrato, el factor de emisión que se aplica al consumo de electricidad es igual al factor de emisión del mix eléctrico de las Illes Balears del año que corresponda.</t>
    </r>
  </si>
  <si>
    <t>¿Dispone de Garantía de Origen renovable (GdO) con procedencia de instalaciones situadas en las Illes Balears?</t>
  </si>
  <si>
    <t>Grupo empresarial</t>
  </si>
  <si>
    <t>num</t>
  </si>
  <si>
    <t>edifici</t>
  </si>
  <si>
    <t>treb</t>
  </si>
  <si>
    <t>sup</t>
  </si>
  <si>
    <t>empresa</t>
  </si>
  <si>
    <t>princ</t>
  </si>
  <si>
    <t>Indique a continuación los edificios/centros de trabajo en los que su organización desarrolla las actividades.</t>
  </si>
  <si>
    <t>Nombre del edificio o centro de trabajo</t>
  </si>
  <si>
    <t xml:space="preserve">  Nº de trabajadores</t>
  </si>
  <si>
    <r>
      <t xml:space="preserve">  Superficie</t>
    </r>
    <r>
      <rPr>
        <b/>
        <vertAlign val="superscript"/>
        <sz val="11"/>
        <color rgb="FFFFFFFF"/>
        <rFont val="Arial Narrow"/>
        <family val="2"/>
        <charset val="1"/>
      </rPr>
      <t xml:space="preserve"> </t>
    </r>
    <r>
      <rPr>
        <b/>
        <sz val="11"/>
        <color rgb="FFFFFFFF"/>
        <rFont val="Arial Narrow"/>
        <family val="2"/>
        <charset val="1"/>
      </rPr>
      <t>(m</t>
    </r>
    <r>
      <rPr>
        <b/>
        <vertAlign val="superscript"/>
        <sz val="11"/>
        <color rgb="FFFFFFFF"/>
        <rFont val="Arial Narrow"/>
        <family val="2"/>
        <charset val="1"/>
      </rPr>
      <t>2</t>
    </r>
    <r>
      <rPr>
        <b/>
        <sz val="11"/>
        <color rgb="FFFFFFFF"/>
        <rFont val="Arial Narrow"/>
        <family val="2"/>
        <charset val="1"/>
      </rPr>
      <t>)</t>
    </r>
  </si>
  <si>
    <t>Nombre de la sociedad a la que está asociado</t>
  </si>
  <si>
    <t>¿Es la sociedad principal del grupo empresarial?</t>
  </si>
  <si>
    <t>Edifici / Seu</t>
  </si>
  <si>
    <t>Energía generada en Illes Balears (kWh)</t>
  </si>
  <si>
    <t>Energía generada (kWh)</t>
  </si>
  <si>
    <r>
      <t>Emisiones parciales
en las Illes Balears
(kg CO</t>
    </r>
    <r>
      <rPr>
        <b/>
        <vertAlign val="subscript"/>
        <sz val="11"/>
        <color rgb="FFFFFFFF"/>
        <rFont val="Arial Narrow"/>
        <family val="2"/>
        <charset val="1"/>
      </rPr>
      <t>2</t>
    </r>
    <r>
      <rPr>
        <b/>
        <sz val="11"/>
        <color rgb="FFFFFFFF"/>
        <rFont val="Arial Narrow"/>
        <family val="2"/>
        <charset val="1"/>
      </rPr>
      <t>eq)</t>
    </r>
  </si>
  <si>
    <t>Fluorados</t>
  </si>
  <si>
    <t>ALCANCE 2
Electricidad</t>
  </si>
  <si>
    <t>CEPSA COMERCIAL PETRÓLEO, S.A.U.</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</si>
</sst>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 #,##0.00&quot;    &quot;;\-* #,##0.00&quot;    &quot;;* \-#&quot;    &quot;;@\ "/>
    <numFmt numFmtId="165" formatCode="#,##0.0"/>
    <numFmt numFmtId="166" formatCode="0.000"/>
    <numFmt numFmtId="167" formatCode="0.0"/>
    <numFmt numFmtId="168" formatCode="#,##0.0000"/>
    <numFmt numFmtId="169" formatCode="0.00\ %"/>
    <numFmt numFmtId="170" formatCode="0.0%"/>
    <numFmt numFmtId="171" formatCode="#,##0.000"/>
    <numFmt numFmtId="172" formatCode="0.0000"/>
    <numFmt numFmtId="173" formatCode="0.000E+00"/>
  </numFmts>
  <fonts count="139" x14ac:knownFonts="1">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b/>
      <sz val="14"/>
      <color rgb="FF000000"/>
      <name val="Arial Narrow"/>
      <family val="2"/>
      <charset val="1"/>
    </font>
    <font>
      <sz val="11"/>
      <color rgb="FF0066CC"/>
      <name val="Arial Narrow"/>
      <family val="2"/>
      <charset val="1"/>
    </font>
    <font>
      <i/>
      <sz val="11"/>
      <color rgb="FF000000"/>
      <name val="Calibri"/>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vertAlign val="subscript"/>
      <sz val="11"/>
      <color rgb="FF000000"/>
      <name val="Arial Narrow"/>
      <family val="2"/>
      <charset val="1"/>
    </font>
    <font>
      <b/>
      <sz val="10"/>
      <color rgb="FF808080"/>
      <name val="Calibri"/>
      <family val="2"/>
      <charset val="1"/>
    </font>
    <font>
      <sz val="10"/>
      <name val="Arial Narrow"/>
      <family val="2"/>
      <charset val="1"/>
    </font>
    <font>
      <b/>
      <sz val="11"/>
      <name val="Arial Narrow"/>
      <family val="2"/>
      <charset val="1"/>
    </font>
    <font>
      <b/>
      <sz val="12"/>
      <color rgb="FFFFFFFF"/>
      <name val="Arial Narrow"/>
      <family val="2"/>
      <charset val="1"/>
    </font>
    <font>
      <b/>
      <sz val="14"/>
      <name val="Arial Narrow"/>
      <family val="2"/>
      <charset val="1"/>
    </font>
    <font>
      <b/>
      <vertAlign val="subscript"/>
      <sz val="14"/>
      <color rgb="FF000000"/>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1"/>
      <color rgb="FF0066CC"/>
      <name val="Calibri"/>
      <family val="2"/>
      <charset val="1"/>
    </font>
    <font>
      <b/>
      <vertAlign val="superscript"/>
      <sz val="11"/>
      <color rgb="FFFFFFFF"/>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i/>
      <sz val="12"/>
      <color rgb="FF003366"/>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b/>
      <sz val="10"/>
      <color rgb="FF0000FF"/>
      <name val="Arial Narrow"/>
      <family val="2"/>
      <charset val="1"/>
    </font>
    <font>
      <vertAlign val="superscript"/>
      <sz val="12"/>
      <color rgb="FF003366"/>
      <name val="Arial Narrow"/>
      <family val="2"/>
      <charset val="1"/>
    </font>
    <font>
      <i/>
      <sz val="10"/>
      <color rgb="FF003366"/>
      <name val="Arial Narrow"/>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b/>
      <sz val="11"/>
      <color rgb="FF376092"/>
      <name val="Arial Narrow"/>
      <family val="2"/>
      <charset val="1"/>
    </font>
    <font>
      <sz val="11"/>
      <color rgb="FFF60000"/>
      <name val="Arial Narrow"/>
      <family val="2"/>
      <charset val="1"/>
    </font>
    <font>
      <sz val="18"/>
      <color rgb="FF000000"/>
      <name val="Calibri"/>
      <family val="2"/>
      <charset val="1"/>
    </font>
    <font>
      <sz val="18"/>
      <color rgb="FF993300"/>
      <name val="Arial Narrow"/>
      <family val="2"/>
      <charset val="1"/>
    </font>
    <font>
      <b/>
      <sz val="10"/>
      <color rgb="FF000000"/>
      <name val="Arial Narrow"/>
      <family val="2"/>
      <charset val="1"/>
    </font>
    <font>
      <sz val="11"/>
      <color rgb="FF4F81BD"/>
      <name val="Arial Narrow"/>
      <family val="2"/>
      <charset val="1"/>
    </font>
    <font>
      <i/>
      <sz val="11"/>
      <color rgb="FF1F497D"/>
      <name val="Arial Narrow"/>
      <family val="2"/>
      <charset val="1"/>
    </font>
    <font>
      <u/>
      <sz val="11"/>
      <color rgb="FF808080"/>
      <name val="Calibri"/>
      <family val="2"/>
      <charset val="1"/>
    </font>
    <font>
      <u/>
      <sz val="11"/>
      <color rgb="FFCCFFFF"/>
      <name val="Calibri"/>
      <family val="2"/>
      <charset val="1"/>
    </font>
    <font>
      <b/>
      <sz val="10"/>
      <color rgb="FFCCFFFF"/>
      <name val="Arial Narrow"/>
      <family val="2"/>
      <charset val="1"/>
    </font>
    <font>
      <sz val="11"/>
      <color rgb="FF376092"/>
      <name val="Arial Narrow"/>
      <family val="2"/>
      <charset val="1"/>
    </font>
    <font>
      <i/>
      <sz val="11"/>
      <color rgb="FF003366"/>
      <name val="Arial Narrow"/>
      <family val="2"/>
      <charset val="1"/>
    </font>
    <font>
      <b/>
      <vertAlign val="subscript"/>
      <sz val="12"/>
      <color rgb="FFFFFFFF"/>
      <name val="Arial Narrow"/>
      <family val="2"/>
      <charset val="1"/>
    </font>
    <font>
      <b/>
      <sz val="10"/>
      <color rgb="FFC0C0C0"/>
      <name val="Arial Narrow"/>
      <family val="2"/>
      <charset val="1"/>
    </font>
    <font>
      <b/>
      <i/>
      <sz val="13"/>
      <color rgb="FF0070C0"/>
      <name val="Arial Narrow"/>
      <family val="2"/>
      <charset val="1"/>
    </font>
    <font>
      <b/>
      <i/>
      <vertAlign val="subscript"/>
      <sz val="13"/>
      <color rgb="FF0070C0"/>
      <name val="Arial Narrow"/>
      <family val="2"/>
      <charset val="1"/>
    </font>
    <font>
      <b/>
      <i/>
      <u/>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1"/>
      <color rgb="FF000000"/>
      <name val="Arial Narrow"/>
      <family val="2"/>
      <charset val="1"/>
    </font>
    <font>
      <b/>
      <i/>
      <sz val="13"/>
      <color rgb="FF000000"/>
      <name val="Arial Narrow"/>
      <family val="2"/>
      <charset val="1"/>
    </font>
    <font>
      <b/>
      <i/>
      <vertAlign val="subscript"/>
      <sz val="13"/>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vertAlign val="superscript"/>
      <sz val="10"/>
      <color rgb="FFFFFFFF"/>
      <name val="Arial Narrow"/>
      <family val="2"/>
      <charset val="1"/>
    </font>
    <font>
      <b/>
      <sz val="10"/>
      <color rgb="FF99CC00"/>
      <name val="Arial Narrow"/>
      <family val="2"/>
      <charset val="1"/>
    </font>
    <font>
      <sz val="10"/>
      <color rgb="FF99CC00"/>
      <name val="Arial Narrow"/>
      <family val="2"/>
      <charset val="1"/>
    </font>
    <font>
      <b/>
      <sz val="14"/>
      <color rgb="FF808080"/>
      <name val="Arial Narrow"/>
      <family val="2"/>
      <charset val="1"/>
    </font>
    <font>
      <b/>
      <vertAlign val="superscript"/>
      <sz val="10"/>
      <color rgb="FF000000"/>
      <name val="Arial Narrow"/>
      <family val="2"/>
      <charset val="1"/>
    </font>
    <font>
      <b/>
      <sz val="12"/>
      <color rgb="FF1F497D"/>
      <name val="Arial Narrow"/>
      <family val="2"/>
      <charset val="1"/>
    </font>
    <font>
      <b/>
      <sz val="14"/>
      <color rgb="FFCCFFFF"/>
      <name val="Arial Narrow"/>
      <family val="2"/>
      <charset val="1"/>
    </font>
    <font>
      <sz val="10"/>
      <color rgb="FF1F497D"/>
      <name val="Arial Narrow"/>
      <family val="2"/>
      <charset val="1"/>
    </font>
    <font>
      <sz val="9"/>
      <color rgb="FF000000"/>
      <name val="Arial Narrow"/>
      <family val="2"/>
      <charset val="1"/>
    </font>
    <font>
      <sz val="11"/>
      <color rgb="FFFFFFFF"/>
      <name val="Arial Narrow"/>
      <family val="2"/>
      <charset val="1"/>
    </font>
    <font>
      <b/>
      <sz val="12"/>
      <name val="Arial Narrow"/>
      <family val="2"/>
      <charset val="1"/>
    </font>
    <font>
      <b/>
      <vertAlign val="subscript"/>
      <sz val="11"/>
      <name val="Arial Narrow"/>
      <family val="2"/>
      <charset val="1"/>
    </font>
    <font>
      <b/>
      <i/>
      <sz val="13"/>
      <color rgb="FF808080"/>
      <name val="Arial Narrow"/>
      <family val="2"/>
      <charset val="1"/>
    </font>
    <font>
      <b/>
      <i/>
      <vertAlign val="subscript"/>
      <sz val="13"/>
      <color rgb="FF808080"/>
      <name val="Arial Narrow"/>
      <family val="2"/>
      <charset val="1"/>
    </font>
    <font>
      <b/>
      <vertAlign val="subscript"/>
      <sz val="10"/>
      <name val="Arial Narrow"/>
      <family val="2"/>
      <charset val="1"/>
    </font>
    <font>
      <b/>
      <vertAlign val="superscript"/>
      <sz val="10"/>
      <name val="Arial Narrow"/>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11"/>
      <color rgb="FF000000"/>
      <name val="Arial"/>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b/>
      <sz val="11"/>
      <name val="Calibri"/>
      <family val="2"/>
      <charset val="1"/>
    </font>
    <font>
      <sz val="9"/>
      <color rgb="FF000000"/>
      <name val="Tahoma"/>
      <family val="2"/>
      <charset val="1"/>
    </font>
    <font>
      <sz val="11"/>
      <color rgb="FF000000"/>
      <name val="Calibri"/>
      <family val="2"/>
      <charset val="1"/>
    </font>
    <font>
      <b/>
      <sz val="11"/>
      <color theme="0"/>
      <name val="Arial Narrow"/>
      <family val="2"/>
    </font>
    <font>
      <sz val="11"/>
      <color rgb="FF000000"/>
      <name val="Arial Narrow"/>
      <family val="2"/>
    </font>
    <font>
      <sz val="10"/>
      <name val="Arial Narrow"/>
      <family val="2"/>
    </font>
    <font>
      <b/>
      <sz val="11"/>
      <color rgb="FFFFFFFF"/>
      <name val="Arial Narrow"/>
      <family val="2"/>
    </font>
    <font>
      <sz val="10"/>
      <color rgb="FF000000"/>
      <name val="Arial Narrow"/>
      <family val="2"/>
    </font>
    <font>
      <b/>
      <sz val="10"/>
      <color rgb="FF000000"/>
      <name val="Arial Narrow"/>
      <family val="2"/>
    </font>
    <font>
      <b/>
      <sz val="11"/>
      <color rgb="FF000000"/>
      <name val="Calibri"/>
      <family val="2"/>
    </font>
    <font>
      <b/>
      <sz val="10"/>
      <name val="Arial Narrow"/>
      <family val="2"/>
    </font>
    <font>
      <b/>
      <sz val="11"/>
      <name val="Arial Narrow"/>
      <family val="2"/>
    </font>
    <font>
      <b/>
      <vertAlign val="subscript"/>
      <sz val="10"/>
      <color rgb="FFFFFFFF"/>
      <name val="Arial Narrow"/>
      <family val="2"/>
    </font>
    <font>
      <b/>
      <sz val="10"/>
      <color rgb="FFFFFFFF"/>
      <name val="Arial Narrow"/>
      <family val="2"/>
    </font>
    <font>
      <b/>
      <sz val="9"/>
      <color rgb="FFFFFFFF"/>
      <name val="Arial Narrow"/>
      <family val="2"/>
    </font>
    <font>
      <sz val="11"/>
      <name val="Arial Narrow"/>
      <family val="2"/>
    </font>
  </fonts>
  <fills count="44">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2A6099"/>
        <bgColor rgb="FF376092"/>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CCCCCC"/>
        <bgColor rgb="FFCCC4D9"/>
      </patternFill>
    </fill>
    <fill>
      <patternFill patternType="solid">
        <fgColor rgb="FFFFFF00"/>
        <bgColor rgb="FFFFF200"/>
      </patternFill>
    </fill>
    <fill>
      <patternFill patternType="solid">
        <fgColor rgb="FFDDDDDD"/>
        <bgColor rgb="FFDEDCE6"/>
      </patternFill>
    </fill>
    <fill>
      <patternFill patternType="solid">
        <fgColor rgb="FFCCC4D9"/>
        <bgColor rgb="FFCCCCCC"/>
      </patternFill>
    </fill>
    <fill>
      <patternFill patternType="solid">
        <fgColor rgb="FFD9D9D9"/>
        <bgColor rgb="FFDDDDDD"/>
      </patternFill>
    </fill>
    <fill>
      <patternFill patternType="solid">
        <fgColor rgb="FFF2F2F2"/>
        <bgColor rgb="FFEBF1DE"/>
      </patternFill>
    </fill>
    <fill>
      <patternFill patternType="solid">
        <fgColor rgb="FFF79646"/>
        <bgColor rgb="FFFF8000"/>
      </patternFill>
    </fill>
    <fill>
      <patternFill patternType="solid">
        <fgColor rgb="FFFFF200"/>
        <bgColor rgb="FFFFFF00"/>
      </patternFill>
    </fill>
    <fill>
      <patternFill patternType="solid">
        <fgColor rgb="FFA73403"/>
        <bgColor rgb="FF4D4D4D"/>
      </patternFill>
    </fill>
    <fill>
      <patternFill patternType="solid">
        <fgColor rgb="FF00B050"/>
        <bgColor rgb="FF0070C0"/>
      </patternFill>
    </fill>
    <fill>
      <patternFill patternType="solid">
        <fgColor rgb="FFEBF1DE"/>
        <bgColor rgb="FFF2F2F2"/>
      </patternFill>
    </fill>
    <fill>
      <patternFill patternType="solid">
        <fgColor rgb="FFFFC000"/>
        <bgColor rgb="FFFFF200"/>
      </patternFill>
    </fill>
    <fill>
      <patternFill patternType="solid">
        <fgColor rgb="FFDDD9C3"/>
        <bgColor rgb="FFD9D9D9"/>
      </patternFill>
    </fill>
    <fill>
      <patternFill patternType="solid">
        <fgColor rgb="FFDCE6F2"/>
        <bgColor rgb="FFDEE6EF"/>
      </patternFill>
    </fill>
    <fill>
      <patternFill patternType="solid">
        <fgColor rgb="FFFEFCD8"/>
        <bgColor rgb="FFF6F9D4"/>
      </patternFill>
    </fill>
    <fill>
      <patternFill patternType="solid">
        <fgColor rgb="FFFF0000"/>
        <bgColor rgb="FFF60000"/>
      </patternFill>
    </fill>
    <fill>
      <patternFill patternType="solid">
        <fgColor rgb="FF81D41A"/>
        <bgColor rgb="FF99CC00"/>
      </patternFill>
    </fill>
    <fill>
      <patternFill patternType="solid">
        <fgColor rgb="FFFF8000"/>
        <bgColor rgb="FFF79646"/>
      </patternFill>
    </fill>
    <fill>
      <patternFill patternType="solid">
        <fgColor rgb="FFFFD7D7"/>
        <bgColor rgb="FFFBE5D6"/>
      </patternFill>
    </fill>
    <fill>
      <patternFill patternType="solid">
        <fgColor rgb="FFDEE6EF"/>
        <bgColor rgb="FFDCE6F2"/>
      </patternFill>
    </fill>
    <fill>
      <patternFill patternType="solid">
        <fgColor rgb="FFF6F9D4"/>
        <bgColor rgb="FFFEFCD8"/>
      </patternFill>
    </fill>
    <fill>
      <patternFill patternType="solid">
        <fgColor rgb="FFFFDBB6"/>
        <bgColor rgb="FFFCD5B5"/>
      </patternFill>
    </fill>
    <fill>
      <patternFill patternType="solid">
        <fgColor rgb="FFC2829E"/>
        <bgColor rgb="FFF2F2F2"/>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FF00"/>
        <bgColor rgb="FFDEDCE6"/>
      </patternFill>
    </fill>
    <fill>
      <patternFill patternType="solid">
        <fgColor rgb="FFFF0000"/>
        <bgColor indexed="64"/>
      </patternFill>
    </fill>
    <fill>
      <patternFill patternType="solid">
        <fgColor theme="0"/>
        <bgColor rgb="FFDDDDDD"/>
      </patternFill>
    </fill>
    <fill>
      <patternFill patternType="solid">
        <fgColor theme="0"/>
        <bgColor rgb="FF443091"/>
      </patternFill>
    </fill>
    <fill>
      <patternFill patternType="solid">
        <fgColor theme="5" tint="0.79998168889431442"/>
        <bgColor rgb="FFF2F2F2"/>
      </patternFill>
    </fill>
    <fill>
      <patternFill patternType="solid">
        <fgColor theme="0"/>
        <bgColor rgb="FFBF819E"/>
      </patternFill>
    </fill>
  </fills>
  <borders count="47">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FFFFFF"/>
      </left>
      <right style="thin">
        <color rgb="FFFFFFFF"/>
      </right>
      <top style="thin">
        <color rgb="FFFFFFFF"/>
      </top>
      <bottom style="thin">
        <color rgb="FFFFFFFF"/>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hair">
        <color auto="1"/>
      </top>
      <bottom style="thin">
        <color rgb="FF808080"/>
      </bottom>
      <diagonal/>
    </border>
    <border>
      <left/>
      <right style="thin">
        <color rgb="FF808080"/>
      </right>
      <top/>
      <bottom style="thin">
        <color rgb="FF808080"/>
      </bottom>
      <diagonal/>
    </border>
    <border>
      <left style="thin">
        <color rgb="FF808080"/>
      </left>
      <right/>
      <top/>
      <bottom style="thin">
        <color rgb="FF808080"/>
      </bottom>
      <diagonal/>
    </border>
    <border>
      <left/>
      <right style="thin">
        <color rgb="FFFFFFFF"/>
      </right>
      <top/>
      <bottom/>
      <diagonal/>
    </border>
    <border>
      <left style="thin">
        <color rgb="FF1F497D"/>
      </left>
      <right style="thin">
        <color rgb="FF1F497D"/>
      </right>
      <top style="thin">
        <color rgb="FF1F497D"/>
      </top>
      <bottom style="thin">
        <color rgb="FF1F497D"/>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right style="thin">
        <color rgb="FFC0C0C0"/>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rgb="FF808080"/>
      </left>
      <right style="thin">
        <color rgb="FF969696"/>
      </right>
      <top style="thin">
        <color rgb="FF969696"/>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FFFFFF"/>
      </left>
      <right/>
      <top/>
      <bottom style="thin">
        <color rgb="FFFFFFFF"/>
      </bottom>
      <diagonal/>
    </border>
    <border>
      <left style="thin">
        <color rgb="FFFFFFFF"/>
      </left>
      <right style="thin">
        <color rgb="FF808080"/>
      </right>
      <top/>
      <bottom style="thin">
        <color rgb="FF80808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hair">
        <color auto="1"/>
      </left>
      <right style="hair">
        <color auto="1"/>
      </right>
      <top style="hair">
        <color auto="1"/>
      </top>
      <bottom style="hair">
        <color auto="1"/>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s>
  <cellStyleXfs count="13">
    <xf numFmtId="0" fontId="0" fillId="0" borderId="0"/>
    <xf numFmtId="0" fontId="14" fillId="0" borderId="0" applyBorder="0" applyProtection="0"/>
    <xf numFmtId="0" fontId="1" fillId="2" borderId="1" applyProtection="0"/>
    <xf numFmtId="0" fontId="2" fillId="3" borderId="1" applyProtection="0"/>
    <xf numFmtId="164" fontId="125" fillId="0" borderId="0" applyBorder="0" applyProtection="0"/>
    <xf numFmtId="164" fontId="125" fillId="0" borderId="0" applyBorder="0" applyProtection="0"/>
    <xf numFmtId="164" fontId="125" fillId="0" borderId="0" applyBorder="0" applyProtection="0"/>
    <xf numFmtId="164" fontId="125" fillId="0" borderId="0" applyBorder="0" applyProtection="0"/>
    <xf numFmtId="0" fontId="3" fillId="0" borderId="0"/>
    <xf numFmtId="0" fontId="4" fillId="0" borderId="0"/>
    <xf numFmtId="0" fontId="3" fillId="0" borderId="0"/>
    <xf numFmtId="0" fontId="4" fillId="0" borderId="0"/>
    <xf numFmtId="0" fontId="5" fillId="0" borderId="0"/>
  </cellStyleXfs>
  <cellXfs count="547">
    <xf numFmtId="0" fontId="0" fillId="0" borderId="0" xfId="0"/>
    <xf numFmtId="0" fontId="21" fillId="9" borderId="1" xfId="0" applyFont="1" applyFill="1" applyBorder="1" applyAlignment="1" applyProtection="1">
      <alignment horizontal="center" vertical="center" wrapText="1"/>
    </xf>
    <xf numFmtId="0" fontId="6" fillId="4" borderId="0" xfId="0" applyFont="1" applyFill="1" applyBorder="1" applyProtection="1"/>
    <xf numFmtId="0" fontId="9" fillId="4" borderId="0" xfId="0" applyFont="1" applyFill="1" applyBorder="1" applyAlignment="1" applyProtection="1">
      <alignment vertical="center" wrapText="1"/>
    </xf>
    <xf numFmtId="0" fontId="10" fillId="4" borderId="0" xfId="0" applyFont="1" applyFill="1" applyBorder="1" applyAlignment="1" applyProtection="1"/>
    <xf numFmtId="0" fontId="0" fillId="4" borderId="0" xfId="0" applyFill="1"/>
    <xf numFmtId="0" fontId="10" fillId="4" borderId="0" xfId="0" applyFont="1" applyFill="1" applyBorder="1" applyAlignment="1" applyProtection="1">
      <alignment vertical="center"/>
    </xf>
    <xf numFmtId="0" fontId="12" fillId="4" borderId="0" xfId="0" applyFont="1" applyFill="1" applyBorder="1" applyProtection="1"/>
    <xf numFmtId="0" fontId="13" fillId="4" borderId="0" xfId="0" applyFont="1" applyFill="1" applyBorder="1" applyProtection="1"/>
    <xf numFmtId="0" fontId="13" fillId="4" borderId="0" xfId="1" applyFont="1" applyFill="1" applyBorder="1" applyAlignment="1" applyProtection="1"/>
    <xf numFmtId="0" fontId="15" fillId="4" borderId="0" xfId="0" applyFont="1" applyFill="1" applyBorder="1" applyAlignment="1" applyProtection="1">
      <alignment vertical="center" wrapText="1"/>
    </xf>
    <xf numFmtId="0" fontId="16" fillId="4" borderId="0" xfId="0" applyFont="1" applyFill="1" applyBorder="1" applyProtection="1"/>
    <xf numFmtId="0" fontId="17" fillId="4" borderId="0" xfId="0" applyFont="1" applyFill="1"/>
    <xf numFmtId="0" fontId="0" fillId="4" borderId="0" xfId="0" applyFill="1" applyBorder="1" applyProtection="1"/>
    <xf numFmtId="0" fontId="18" fillId="4" borderId="0" xfId="1" applyFont="1" applyFill="1" applyBorder="1" applyAlignment="1" applyProtection="1">
      <alignment vertical="center"/>
    </xf>
    <xf numFmtId="0" fontId="19" fillId="8" borderId="0" xfId="1" applyFont="1" applyFill="1" applyBorder="1" applyAlignment="1" applyProtection="1">
      <alignment vertical="center"/>
    </xf>
    <xf numFmtId="0" fontId="20" fillId="4" borderId="0" xfId="1" applyFont="1" applyFill="1" applyBorder="1" applyAlignment="1" applyProtection="1">
      <alignment vertical="center"/>
    </xf>
    <xf numFmtId="0" fontId="23" fillId="4" borderId="0" xfId="1" applyFont="1" applyFill="1" applyBorder="1" applyAlignment="1" applyProtection="1">
      <alignment vertical="center"/>
    </xf>
    <xf numFmtId="0" fontId="23" fillId="4" borderId="0" xfId="1" applyFont="1" applyFill="1" applyBorder="1" applyAlignment="1" applyProtection="1">
      <alignment horizontal="left" vertical="center"/>
    </xf>
    <xf numFmtId="0" fontId="21" fillId="9" borderId="1" xfId="0" applyFont="1" applyFill="1" applyBorder="1" applyAlignment="1" applyProtection="1">
      <alignment horizontal="center" vertical="center"/>
    </xf>
    <xf numFmtId="0" fontId="24" fillId="4" borderId="0" xfId="0" applyFont="1" applyFill="1" applyBorder="1" applyProtection="1"/>
    <xf numFmtId="0" fontId="25" fillId="4" borderId="0" xfId="0" applyFont="1" applyFill="1" applyBorder="1" applyAlignment="1" applyProtection="1">
      <alignment vertical="center" wrapText="1"/>
    </xf>
    <xf numFmtId="0" fontId="20" fillId="4" borderId="0" xfId="0" applyFont="1" applyFill="1" applyBorder="1" applyProtection="1"/>
    <xf numFmtId="0" fontId="21" fillId="9" borderId="6" xfId="0" applyFont="1" applyFill="1" applyBorder="1" applyAlignment="1" applyProtection="1">
      <alignment horizontal="center" vertical="center" wrapText="1"/>
    </xf>
    <xf numFmtId="0" fontId="6" fillId="4" borderId="3" xfId="0" applyFont="1" applyFill="1" applyBorder="1" applyAlignment="1" applyProtection="1">
      <alignment horizontal="left" vertical="center"/>
    </xf>
    <xf numFmtId="49" fontId="27" fillId="4" borderId="0" xfId="0" applyNumberFormat="1" applyFont="1" applyFill="1" applyBorder="1" applyAlignment="1" applyProtection="1">
      <alignment horizontal="left" vertical="center"/>
    </xf>
    <xf numFmtId="0" fontId="28" fillId="4" borderId="0" xfId="0" applyFont="1" applyFill="1" applyBorder="1" applyAlignment="1" applyProtection="1">
      <alignment horizontal="right"/>
    </xf>
    <xf numFmtId="0" fontId="29" fillId="4" borderId="0" xfId="0" applyFont="1" applyFill="1" applyBorder="1" applyAlignment="1" applyProtection="1">
      <alignment vertical="center" wrapText="1"/>
    </xf>
    <xf numFmtId="0" fontId="27" fillId="4" borderId="0" xfId="0" applyFont="1" applyFill="1" applyBorder="1" applyAlignment="1" applyProtection="1">
      <alignment horizontal="left" vertical="center"/>
    </xf>
    <xf numFmtId="0" fontId="30" fillId="9" borderId="6" xfId="0" applyFont="1" applyFill="1" applyBorder="1" applyAlignment="1" applyProtection="1">
      <alignment horizontal="center" vertical="center" wrapText="1"/>
    </xf>
    <xf numFmtId="1" fontId="31" fillId="4" borderId="3" xfId="0" applyNumberFormat="1" applyFont="1" applyFill="1" applyBorder="1" applyAlignment="1" applyProtection="1">
      <alignment horizontal="center" vertical="center"/>
    </xf>
    <xf numFmtId="4" fontId="15" fillId="4" borderId="7" xfId="0" applyNumberFormat="1" applyFont="1" applyFill="1" applyBorder="1" applyAlignment="1" applyProtection="1">
      <alignment horizontal="right" vertical="center"/>
    </xf>
    <xf numFmtId="0" fontId="15" fillId="4" borderId="3" xfId="0" applyFont="1" applyFill="1" applyBorder="1" applyAlignment="1" applyProtection="1">
      <alignment horizontal="left" vertical="center"/>
    </xf>
    <xf numFmtId="0" fontId="6" fillId="4" borderId="0" xfId="0" applyFont="1" applyFill="1" applyBorder="1" applyAlignment="1" applyProtection="1">
      <alignment horizontal="center" vertical="center"/>
    </xf>
    <xf numFmtId="0" fontId="25" fillId="4" borderId="0" xfId="0" applyFont="1" applyFill="1" applyBorder="1" applyAlignment="1" applyProtection="1">
      <alignment horizontal="left" vertical="center" wrapText="1"/>
    </xf>
    <xf numFmtId="0" fontId="29" fillId="4" borderId="0" xfId="0" applyFont="1" applyFill="1" applyBorder="1" applyAlignment="1" applyProtection="1">
      <alignment horizontal="left" vertical="center" wrapText="1" indent="1"/>
    </xf>
    <xf numFmtId="0" fontId="34" fillId="4" borderId="0" xfId="0" applyFont="1" applyFill="1" applyBorder="1" applyProtection="1"/>
    <xf numFmtId="0" fontId="21" fillId="10" borderId="6" xfId="0" applyFont="1" applyFill="1" applyBorder="1" applyAlignment="1" applyProtection="1">
      <alignment horizontal="center" vertical="center" wrapText="1"/>
    </xf>
    <xf numFmtId="0" fontId="0" fillId="10" borderId="0" xfId="0" applyFill="1" applyBorder="1" applyProtection="1"/>
    <xf numFmtId="0" fontId="36" fillId="4" borderId="0" xfId="0" applyFont="1" applyFill="1" applyBorder="1" applyProtection="1"/>
    <xf numFmtId="0" fontId="29" fillId="4" borderId="0" xfId="0" applyFont="1" applyFill="1" applyBorder="1" applyAlignment="1" applyProtection="1">
      <alignment horizontal="center" vertical="center" wrapText="1"/>
    </xf>
    <xf numFmtId="0" fontId="35" fillId="4" borderId="0" xfId="0" applyFont="1" applyFill="1" applyBorder="1" applyProtection="1"/>
    <xf numFmtId="0" fontId="28" fillId="4" borderId="0" xfId="0" applyFont="1" applyFill="1" applyBorder="1" applyAlignment="1" applyProtection="1">
      <alignment horizontal="left" vertical="center" wrapText="1"/>
    </xf>
    <xf numFmtId="0" fontId="38" fillId="4" borderId="0" xfId="0" applyFont="1" applyFill="1" applyBorder="1" applyAlignment="1" applyProtection="1">
      <alignment horizontal="left" vertical="center" indent="15"/>
    </xf>
    <xf numFmtId="0" fontId="41" fillId="4" borderId="0" xfId="0" applyFont="1" applyFill="1" applyBorder="1" applyAlignment="1" applyProtection="1">
      <alignment vertical="center" wrapText="1"/>
    </xf>
    <xf numFmtId="0" fontId="42" fillId="4" borderId="0" xfId="0" applyFont="1" applyFill="1" applyBorder="1" applyAlignment="1" applyProtection="1">
      <alignment horizontal="right"/>
    </xf>
    <xf numFmtId="0" fontId="43" fillId="4" borderId="0" xfId="0" applyFont="1" applyFill="1" applyBorder="1" applyAlignment="1" applyProtection="1">
      <alignment vertical="center" wrapText="1"/>
    </xf>
    <xf numFmtId="0" fontId="23" fillId="4" borderId="0" xfId="0" applyFont="1" applyFill="1" applyBorder="1" applyProtection="1"/>
    <xf numFmtId="0" fontId="46" fillId="4" borderId="0" xfId="0" applyFont="1" applyFill="1" applyBorder="1" applyAlignment="1" applyProtection="1">
      <alignment vertical="center"/>
    </xf>
    <xf numFmtId="0" fontId="47" fillId="4" borderId="0" xfId="0" applyFont="1" applyFill="1" applyBorder="1" applyAlignment="1" applyProtection="1">
      <alignment horizontal="left"/>
    </xf>
    <xf numFmtId="0" fontId="28" fillId="4" borderId="0" xfId="0" applyFont="1" applyFill="1" applyBorder="1" applyAlignment="1" applyProtection="1">
      <alignment horizontal="center"/>
    </xf>
    <xf numFmtId="0" fontId="19" fillId="2" borderId="1" xfId="0" applyFont="1" applyFill="1" applyBorder="1" applyAlignment="1" applyProtection="1">
      <alignment horizontal="center" vertical="center" wrapText="1"/>
    </xf>
    <xf numFmtId="0" fontId="51" fillId="4" borderId="1" xfId="0" applyFont="1" applyFill="1" applyBorder="1" applyAlignment="1" applyProtection="1">
      <alignment horizontal="center" vertical="center" wrapText="1"/>
    </xf>
    <xf numFmtId="0" fontId="19" fillId="4" borderId="1" xfId="0" applyFont="1" applyFill="1" applyBorder="1" applyAlignment="1" applyProtection="1">
      <alignment horizontal="center" vertical="top" wrapText="1"/>
    </xf>
    <xf numFmtId="0" fontId="19" fillId="4" borderId="1" xfId="0" applyFont="1" applyFill="1" applyBorder="1" applyAlignment="1" applyProtection="1">
      <alignment horizontal="center" vertical="center" wrapText="1"/>
    </xf>
    <xf numFmtId="0" fontId="28" fillId="4" borderId="1" xfId="0" applyFont="1" applyFill="1" applyBorder="1" applyAlignment="1" applyProtection="1">
      <alignment horizontal="center" vertical="center" wrapText="1"/>
    </xf>
    <xf numFmtId="166" fontId="28" fillId="4" borderId="1" xfId="0" applyNumberFormat="1" applyFont="1" applyFill="1" applyBorder="1" applyAlignment="1" applyProtection="1">
      <alignment horizontal="right" vertical="center" wrapText="1"/>
    </xf>
    <xf numFmtId="4" fontId="28" fillId="4" borderId="1" xfId="0" applyNumberFormat="1" applyFont="1" applyFill="1" applyBorder="1" applyAlignment="1" applyProtection="1">
      <alignment horizontal="right" vertical="center"/>
    </xf>
    <xf numFmtId="4" fontId="19" fillId="10" borderId="1" xfId="0" applyNumberFormat="1" applyFont="1" applyFill="1" applyBorder="1" applyAlignment="1" applyProtection="1">
      <alignment horizontal="right"/>
    </xf>
    <xf numFmtId="0" fontId="54" fillId="4" borderId="0" xfId="0" applyFont="1" applyFill="1" applyBorder="1" applyAlignment="1" applyProtection="1">
      <alignment horizontal="right"/>
    </xf>
    <xf numFmtId="0" fontId="28" fillId="4" borderId="0" xfId="0" applyFont="1" applyFill="1" applyBorder="1" applyAlignment="1" applyProtection="1">
      <alignment horizontal="left"/>
    </xf>
    <xf numFmtId="4" fontId="51" fillId="12" borderId="1" xfId="0" applyNumberFormat="1" applyFont="1" applyFill="1" applyBorder="1" applyAlignment="1" applyProtection="1">
      <alignment horizontal="right"/>
    </xf>
    <xf numFmtId="0" fontId="56" fillId="4" borderId="0" xfId="0" applyFont="1" applyFill="1" applyBorder="1" applyAlignment="1" applyProtection="1">
      <alignment vertical="center" wrapText="1"/>
    </xf>
    <xf numFmtId="0" fontId="28" fillId="4" borderId="11" xfId="0" applyFont="1" applyFill="1" applyBorder="1" applyAlignment="1" applyProtection="1">
      <alignment horizontal="right"/>
    </xf>
    <xf numFmtId="4" fontId="28" fillId="4" borderId="0" xfId="0" applyNumberFormat="1" applyFont="1" applyFill="1" applyBorder="1" applyAlignment="1" applyProtection="1">
      <alignment horizontal="right"/>
    </xf>
    <xf numFmtId="0" fontId="57" fillId="4" borderId="0" xfId="0" applyFont="1" applyFill="1" applyBorder="1" applyAlignment="1" applyProtection="1">
      <alignment horizontal="right" vertical="center" wrapText="1"/>
    </xf>
    <xf numFmtId="0" fontId="6" fillId="4" borderId="0" xfId="0" applyFont="1" applyFill="1" applyBorder="1" applyAlignment="1" applyProtection="1">
      <alignment horizontal="center"/>
    </xf>
    <xf numFmtId="0" fontId="25" fillId="4" borderId="0" xfId="0" applyFont="1" applyFill="1" applyBorder="1" applyAlignment="1" applyProtection="1">
      <alignment horizontal="left" wrapText="1"/>
    </xf>
    <xf numFmtId="0" fontId="58" fillId="4" borderId="0" xfId="0" applyFont="1" applyFill="1" applyBorder="1" applyAlignment="1" applyProtection="1">
      <alignment vertical="center" wrapText="1"/>
    </xf>
    <xf numFmtId="0" fontId="43" fillId="4" borderId="0" xfId="0" applyFont="1" applyFill="1" applyBorder="1" applyAlignment="1" applyProtection="1">
      <alignment horizontal="left" vertical="center" wrapText="1"/>
    </xf>
    <xf numFmtId="0" fontId="25" fillId="4" borderId="0" xfId="0" applyFont="1" applyFill="1" applyBorder="1" applyAlignment="1" applyProtection="1">
      <alignment wrapText="1"/>
    </xf>
    <xf numFmtId="0" fontId="29" fillId="4" borderId="0" xfId="0" applyFont="1" applyFill="1" applyBorder="1" applyAlignment="1" applyProtection="1">
      <alignment horizontal="left" vertical="center" wrapText="1"/>
    </xf>
    <xf numFmtId="0" fontId="46" fillId="4" borderId="0" xfId="0" applyFont="1" applyFill="1" applyBorder="1" applyAlignment="1" applyProtection="1">
      <alignment vertical="center" wrapText="1"/>
    </xf>
    <xf numFmtId="0" fontId="54" fillId="4" borderId="0" xfId="0" applyFont="1" applyFill="1" applyBorder="1" applyProtection="1"/>
    <xf numFmtId="0" fontId="35" fillId="4" borderId="1" xfId="0" applyFont="1" applyFill="1" applyBorder="1" applyProtection="1"/>
    <xf numFmtId="3" fontId="28" fillId="4" borderId="1" xfId="0" applyNumberFormat="1" applyFont="1" applyFill="1" applyBorder="1" applyAlignment="1" applyProtection="1">
      <alignment horizontal="center" vertical="center" wrapText="1"/>
    </xf>
    <xf numFmtId="4" fontId="19" fillId="10" borderId="1" xfId="0" applyNumberFormat="1" applyFont="1" applyFill="1" applyBorder="1" applyAlignment="1" applyProtection="1">
      <alignment vertical="center"/>
    </xf>
    <xf numFmtId="0" fontId="59" fillId="4" borderId="0" xfId="0" applyFont="1" applyFill="1"/>
    <xf numFmtId="0" fontId="51" fillId="4" borderId="0" xfId="0" applyFont="1" applyFill="1" applyBorder="1" applyAlignment="1" applyProtection="1">
      <alignment vertical="center" wrapText="1"/>
    </xf>
    <xf numFmtId="0" fontId="60" fillId="4" borderId="0" xfId="0" applyFont="1" applyFill="1" applyBorder="1" applyAlignment="1" applyProtection="1">
      <alignment vertical="center" wrapText="1"/>
    </xf>
    <xf numFmtId="3" fontId="23" fillId="4" borderId="0" xfId="1" applyNumberFormat="1" applyFont="1" applyFill="1" applyBorder="1" applyAlignment="1" applyProtection="1">
      <alignment vertical="center"/>
    </xf>
    <xf numFmtId="0" fontId="63" fillId="4" borderId="0" xfId="0" applyFont="1" applyFill="1"/>
    <xf numFmtId="0" fontId="35" fillId="4" borderId="0" xfId="0" applyFont="1" applyFill="1" applyBorder="1" applyAlignment="1" applyProtection="1">
      <alignment vertical="top" wrapText="1"/>
    </xf>
    <xf numFmtId="0" fontId="64" fillId="4" borderId="0" xfId="0" applyFont="1" applyFill="1" applyBorder="1" applyProtection="1"/>
    <xf numFmtId="0" fontId="41" fillId="4" borderId="0" xfId="0" applyFont="1" applyFill="1" applyBorder="1" applyProtection="1"/>
    <xf numFmtId="0" fontId="25" fillId="4" borderId="0" xfId="0" applyFont="1" applyFill="1" applyBorder="1" applyAlignment="1" applyProtection="1">
      <alignment horizontal="left" vertical="top" wrapText="1"/>
    </xf>
    <xf numFmtId="0" fontId="30" fillId="4" borderId="0" xfId="0" applyFont="1" applyFill="1" applyBorder="1" applyAlignment="1" applyProtection="1">
      <alignment horizontal="left" vertical="center"/>
    </xf>
    <xf numFmtId="0" fontId="56" fillId="4" borderId="0" xfId="0" applyFont="1" applyFill="1" applyBorder="1" applyProtection="1"/>
    <xf numFmtId="0" fontId="25" fillId="4" borderId="0" xfId="0" applyFont="1" applyFill="1" applyBorder="1" applyAlignment="1" applyProtection="1">
      <alignment vertical="top" wrapText="1"/>
    </xf>
    <xf numFmtId="0" fontId="19" fillId="4" borderId="1" xfId="0" applyFont="1" applyFill="1" applyBorder="1" applyAlignment="1" applyProtection="1">
      <alignment vertical="center" wrapText="1"/>
    </xf>
    <xf numFmtId="4" fontId="28" fillId="4" borderId="1" xfId="0" applyNumberFormat="1" applyFont="1" applyFill="1" applyBorder="1" applyAlignment="1" applyProtection="1">
      <alignment horizontal="right" vertical="center" wrapText="1"/>
    </xf>
    <xf numFmtId="4" fontId="35" fillId="4" borderId="1" xfId="0" applyNumberFormat="1" applyFont="1" applyFill="1" applyBorder="1" applyAlignment="1" applyProtection="1">
      <alignment horizontal="right" vertical="center"/>
    </xf>
    <xf numFmtId="0" fontId="57" fillId="4" borderId="0" xfId="0" applyFont="1" applyFill="1" applyBorder="1" applyAlignment="1" applyProtection="1">
      <alignment vertical="center" wrapText="1"/>
    </xf>
    <xf numFmtId="0" fontId="66" fillId="4" borderId="0" xfId="0" applyFont="1" applyFill="1" applyBorder="1" applyAlignment="1" applyProtection="1">
      <alignment horizontal="left" vertical="center" wrapText="1"/>
    </xf>
    <xf numFmtId="0" fontId="66" fillId="4" borderId="0" xfId="0" applyFont="1" applyFill="1" applyBorder="1" applyProtection="1"/>
    <xf numFmtId="0" fontId="64" fillId="4" borderId="0" xfId="0" applyFont="1" applyFill="1" applyBorder="1" applyAlignment="1" applyProtection="1">
      <alignment vertical="center" wrapText="1"/>
    </xf>
    <xf numFmtId="0" fontId="69" fillId="4" borderId="0" xfId="0" applyFont="1" applyFill="1" applyAlignment="1" applyProtection="1">
      <alignment horizontal="justify" vertical="center"/>
    </xf>
    <xf numFmtId="0" fontId="70" fillId="4" borderId="0" xfId="0" applyFont="1" applyFill="1" applyBorder="1" applyProtection="1"/>
    <xf numFmtId="0" fontId="0" fillId="4" borderId="0" xfId="0" applyFill="1" applyAlignment="1" applyProtection="1">
      <alignment horizontal="justify" vertical="center"/>
    </xf>
    <xf numFmtId="0" fontId="71" fillId="4" borderId="1" xfId="0" applyFont="1" applyFill="1" applyBorder="1" applyProtection="1"/>
    <xf numFmtId="0" fontId="47" fillId="4" borderId="0" xfId="0" applyFont="1" applyFill="1" applyBorder="1" applyAlignment="1" applyProtection="1">
      <alignment vertical="center" wrapText="1"/>
    </xf>
    <xf numFmtId="165" fontId="6" fillId="4" borderId="0" xfId="0" applyNumberFormat="1" applyFont="1" applyFill="1" applyBorder="1" applyAlignment="1" applyProtection="1">
      <alignment horizontal="center" vertical="center"/>
    </xf>
    <xf numFmtId="0" fontId="74" fillId="4" borderId="0" xfId="1" applyFont="1" applyFill="1" applyBorder="1" applyAlignment="1" applyProtection="1">
      <alignment horizontal="left" indent="1"/>
    </xf>
    <xf numFmtId="0" fontId="75" fillId="4" borderId="0" xfId="1" applyFont="1" applyFill="1" applyBorder="1" applyAlignment="1" applyProtection="1">
      <alignment horizontal="left" indent="1"/>
    </xf>
    <xf numFmtId="0" fontId="28" fillId="4" borderId="0" xfId="0" applyFont="1" applyFill="1" applyBorder="1" applyProtection="1"/>
    <xf numFmtId="167" fontId="51" fillId="14" borderId="1" xfId="0" applyNumberFormat="1" applyFont="1" applyFill="1" applyBorder="1" applyAlignment="1" applyProtection="1">
      <alignment horizontal="right"/>
    </xf>
    <xf numFmtId="2" fontId="19" fillId="10" borderId="1" xfId="0" applyNumberFormat="1" applyFont="1" applyFill="1" applyBorder="1" applyAlignment="1" applyProtection="1">
      <alignment horizontal="right"/>
    </xf>
    <xf numFmtId="0" fontId="25" fillId="4" borderId="0" xfId="0" applyFont="1" applyFill="1" applyBorder="1" applyAlignment="1" applyProtection="1">
      <alignment vertical="center"/>
    </xf>
    <xf numFmtId="0" fontId="14" fillId="4" borderId="0" xfId="1" applyFont="1" applyFill="1" applyBorder="1" applyAlignment="1" applyProtection="1">
      <alignment horizontal="left" indent="1"/>
    </xf>
    <xf numFmtId="0" fontId="22" fillId="4" borderId="0" xfId="0" applyFont="1" applyFill="1" applyBorder="1" applyAlignment="1" applyProtection="1">
      <alignment vertical="center"/>
    </xf>
    <xf numFmtId="0" fontId="51" fillId="4" borderId="0" xfId="0" applyFont="1" applyFill="1" applyBorder="1" applyAlignment="1" applyProtection="1">
      <alignment horizontal="right" vertical="center" wrapText="1"/>
    </xf>
    <xf numFmtId="0" fontId="80" fillId="4" borderId="0" xfId="1" applyFont="1" applyFill="1" applyBorder="1" applyAlignment="1" applyProtection="1">
      <alignment vertical="center"/>
    </xf>
    <xf numFmtId="0" fontId="43" fillId="4" borderId="0" xfId="0" applyFont="1" applyFill="1" applyBorder="1" applyAlignment="1" applyProtection="1">
      <alignment horizontal="right"/>
    </xf>
    <xf numFmtId="0" fontId="42" fillId="4" borderId="0" xfId="0" applyFont="1" applyFill="1" applyBorder="1" applyProtection="1"/>
    <xf numFmtId="0" fontId="84" fillId="4" borderId="0" xfId="0" applyFont="1" applyFill="1" applyBorder="1" applyAlignment="1" applyProtection="1">
      <alignment horizontal="right"/>
    </xf>
    <xf numFmtId="1" fontId="85" fillId="4" borderId="13" xfId="0" applyNumberFormat="1" applyFont="1" applyFill="1" applyBorder="1" applyAlignment="1" applyProtection="1">
      <alignment vertical="center" wrapText="1"/>
    </xf>
    <xf numFmtId="0" fontId="84" fillId="4" borderId="0" xfId="0" applyFont="1" applyFill="1" applyBorder="1" applyProtection="1"/>
    <xf numFmtId="168" fontId="66" fillId="4" borderId="0" xfId="0" applyNumberFormat="1" applyFont="1" applyFill="1" applyBorder="1" applyAlignment="1" applyProtection="1">
      <alignment vertical="center" wrapText="1"/>
    </xf>
    <xf numFmtId="4" fontId="43" fillId="4" borderId="0" xfId="0" applyNumberFormat="1" applyFont="1" applyFill="1" applyBorder="1" applyAlignment="1" applyProtection="1">
      <alignment horizontal="right" vertical="center" wrapText="1"/>
    </xf>
    <xf numFmtId="0" fontId="66" fillId="4" borderId="0" xfId="0" applyFont="1" applyFill="1" applyBorder="1" applyAlignment="1" applyProtection="1">
      <alignment vertical="center" wrapText="1"/>
    </xf>
    <xf numFmtId="0" fontId="81" fillId="4" borderId="0" xfId="0" applyFont="1" applyFill="1" applyBorder="1" applyAlignment="1" applyProtection="1">
      <alignment vertical="center" wrapText="1"/>
    </xf>
    <xf numFmtId="0" fontId="81" fillId="4" borderId="14" xfId="0" applyFont="1" applyFill="1" applyBorder="1" applyAlignment="1" applyProtection="1">
      <alignment vertical="center" wrapText="1"/>
    </xf>
    <xf numFmtId="0" fontId="81" fillId="4" borderId="0" xfId="0" applyFont="1" applyFill="1" applyBorder="1" applyAlignment="1" applyProtection="1">
      <alignment vertical="top" wrapText="1"/>
    </xf>
    <xf numFmtId="0" fontId="47" fillId="4" borderId="0" xfId="0" applyFont="1" applyFill="1" applyBorder="1" applyAlignment="1" applyProtection="1">
      <alignment vertical="center"/>
    </xf>
    <xf numFmtId="0" fontId="90" fillId="4" borderId="0" xfId="0" applyFont="1" applyFill="1" applyBorder="1" applyAlignment="1" applyProtection="1">
      <alignment vertical="center" wrapText="1"/>
    </xf>
    <xf numFmtId="4" fontId="71" fillId="4" borderId="0" xfId="0" applyNumberFormat="1" applyFont="1" applyFill="1" applyBorder="1" applyAlignment="1" applyProtection="1">
      <alignment horizontal="right" vertical="center" wrapText="1"/>
    </xf>
    <xf numFmtId="0" fontId="71" fillId="4" borderId="0" xfId="0" applyFont="1" applyFill="1" applyBorder="1" applyAlignment="1" applyProtection="1">
      <alignment vertical="center" wrapText="1"/>
    </xf>
    <xf numFmtId="0" fontId="22" fillId="11" borderId="1" xfId="0" applyFont="1" applyFill="1" applyBorder="1" applyAlignment="1" applyProtection="1">
      <alignment vertical="center" wrapText="1"/>
    </xf>
    <xf numFmtId="0" fontId="91" fillId="4" borderId="0" xfId="0" applyFont="1" applyFill="1" applyBorder="1" applyAlignment="1" applyProtection="1">
      <alignment horizontal="left" vertical="top" wrapText="1" indent="1"/>
    </xf>
    <xf numFmtId="0" fontId="90" fillId="2" borderId="15" xfId="0" applyFont="1" applyFill="1" applyBorder="1" applyProtection="1"/>
    <xf numFmtId="0" fontId="90" fillId="2" borderId="16" xfId="0" applyFont="1" applyFill="1" applyBorder="1" applyProtection="1"/>
    <xf numFmtId="0" fontId="19" fillId="2" borderId="16" xfId="0" applyFont="1" applyFill="1" applyBorder="1" applyProtection="1"/>
    <xf numFmtId="0" fontId="19" fillId="2" borderId="17" xfId="0" applyFont="1" applyFill="1" applyBorder="1" applyProtection="1"/>
    <xf numFmtId="0" fontId="92" fillId="4" borderId="0" xfId="0" applyFont="1" applyFill="1" applyBorder="1" applyProtection="1"/>
    <xf numFmtId="0" fontId="10" fillId="2" borderId="18" xfId="0" applyFont="1" applyFill="1" applyBorder="1" applyAlignment="1" applyProtection="1">
      <alignment vertical="center" wrapText="1"/>
    </xf>
    <xf numFmtId="0" fontId="30" fillId="2" borderId="0" xfId="0" applyFont="1" applyFill="1" applyBorder="1" applyAlignment="1" applyProtection="1">
      <alignment horizontal="center" vertical="center" wrapText="1"/>
    </xf>
    <xf numFmtId="168" fontId="71" fillId="4" borderId="0" xfId="0" applyNumberFormat="1" applyFont="1" applyFill="1" applyBorder="1" applyAlignment="1" applyProtection="1">
      <alignment vertical="center"/>
    </xf>
    <xf numFmtId="0" fontId="19" fillId="2" borderId="0" xfId="0" applyFont="1" applyFill="1" applyBorder="1" applyAlignment="1" applyProtection="1">
      <alignment horizontal="right" vertical="center"/>
    </xf>
    <xf numFmtId="165" fontId="19" fillId="2" borderId="0" xfId="0" applyNumberFormat="1" applyFont="1" applyFill="1" applyBorder="1" applyAlignment="1" applyProtection="1">
      <alignment horizontal="left" vertical="center"/>
    </xf>
    <xf numFmtId="0" fontId="19" fillId="2" borderId="19" xfId="0" applyFont="1" applyFill="1" applyBorder="1" applyAlignment="1" applyProtection="1">
      <alignment vertical="center"/>
    </xf>
    <xf numFmtId="4" fontId="93" fillId="2" borderId="0" xfId="0" applyNumberFormat="1" applyFont="1" applyFill="1" applyBorder="1" applyAlignment="1" applyProtection="1"/>
    <xf numFmtId="165" fontId="92" fillId="2" borderId="0" xfId="0" applyNumberFormat="1" applyFont="1" applyFill="1" applyBorder="1" applyAlignment="1" applyProtection="1">
      <alignment horizontal="right"/>
    </xf>
    <xf numFmtId="165" fontId="92" fillId="2" borderId="0" xfId="0" applyNumberFormat="1" applyFont="1" applyFill="1" applyBorder="1" applyAlignment="1" applyProtection="1"/>
    <xf numFmtId="0" fontId="30" fillId="2"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xf>
    <xf numFmtId="0" fontId="19" fillId="2" borderId="19" xfId="0" applyFont="1" applyFill="1" applyBorder="1" applyAlignment="1" applyProtection="1">
      <alignment horizontal="right" vertical="center"/>
    </xf>
    <xf numFmtId="0" fontId="10" fillId="2" borderId="0" xfId="0" applyFont="1" applyFill="1" applyBorder="1" applyAlignment="1" applyProtection="1">
      <alignment horizontal="left" vertical="center" wrapText="1"/>
    </xf>
    <xf numFmtId="4" fontId="42" fillId="2" borderId="0" xfId="0" applyNumberFormat="1" applyFont="1" applyFill="1" applyBorder="1" applyAlignment="1" applyProtection="1"/>
    <xf numFmtId="0" fontId="95" fillId="2" borderId="0" xfId="0" applyFont="1" applyFill="1" applyBorder="1" applyAlignment="1" applyProtection="1">
      <alignment horizontal="right" vertical="center"/>
    </xf>
    <xf numFmtId="165" fontId="96" fillId="2" borderId="0" xfId="0" applyNumberFormat="1" applyFont="1" applyFill="1" applyBorder="1" applyAlignment="1" applyProtection="1"/>
    <xf numFmtId="0" fontId="95" fillId="2" borderId="19" xfId="0" applyFont="1" applyFill="1" applyBorder="1" applyAlignment="1" applyProtection="1">
      <alignment vertical="center"/>
    </xf>
    <xf numFmtId="0" fontId="10" fillId="2" borderId="20" xfId="0" applyFont="1" applyFill="1" applyBorder="1" applyAlignment="1" applyProtection="1">
      <alignment horizontal="left" vertical="center" wrapText="1"/>
    </xf>
    <xf numFmtId="0" fontId="43" fillId="2" borderId="21" xfId="0" applyFont="1" applyFill="1" applyBorder="1" applyAlignment="1" applyProtection="1">
      <alignment horizontal="left" vertical="center"/>
    </xf>
    <xf numFmtId="0" fontId="43" fillId="2" borderId="22" xfId="0" applyFont="1" applyFill="1" applyBorder="1" applyAlignment="1" applyProtection="1">
      <alignment horizontal="left" vertical="center"/>
    </xf>
    <xf numFmtId="4" fontId="43" fillId="2" borderId="22" xfId="0" applyNumberFormat="1" applyFont="1" applyFill="1" applyBorder="1" applyAlignment="1" applyProtection="1">
      <alignment horizontal="left" vertical="center"/>
    </xf>
    <xf numFmtId="0" fontId="19" fillId="2" borderId="22" xfId="0" applyFont="1" applyFill="1" applyBorder="1" applyAlignment="1" applyProtection="1">
      <alignment horizontal="left" vertical="center"/>
    </xf>
    <xf numFmtId="0" fontId="19" fillId="2" borderId="23" xfId="0" applyFont="1" applyFill="1" applyBorder="1" applyAlignment="1" applyProtection="1">
      <alignment horizontal="left" vertical="center"/>
    </xf>
    <xf numFmtId="0" fontId="6" fillId="4" borderId="0" xfId="0" applyFont="1" applyFill="1" applyBorder="1" applyAlignment="1" applyProtection="1">
      <alignment horizontal="left"/>
    </xf>
    <xf numFmtId="4" fontId="6" fillId="4" borderId="0" xfId="0" applyNumberFormat="1" applyFont="1" applyFill="1" applyBorder="1" applyProtection="1"/>
    <xf numFmtId="0" fontId="90" fillId="11" borderId="15" xfId="0" applyFont="1" applyFill="1" applyBorder="1" applyProtection="1"/>
    <xf numFmtId="0" fontId="90" fillId="11" borderId="16" xfId="0" applyFont="1" applyFill="1" applyBorder="1" applyAlignment="1" applyProtection="1">
      <alignment horizontal="left"/>
    </xf>
    <xf numFmtId="4" fontId="90" fillId="11" borderId="16" xfId="0" applyNumberFormat="1" applyFont="1" applyFill="1" applyBorder="1" applyProtection="1"/>
    <xf numFmtId="0" fontId="90" fillId="11" borderId="16" xfId="0" applyFont="1" applyFill="1" applyBorder="1" applyAlignment="1" applyProtection="1">
      <alignment horizontal="right"/>
    </xf>
    <xf numFmtId="0" fontId="90" fillId="11" borderId="16" xfId="0" applyFont="1" applyFill="1" applyBorder="1" applyProtection="1"/>
    <xf numFmtId="0" fontId="90" fillId="11" borderId="17" xfId="0" applyFont="1" applyFill="1" applyBorder="1" applyProtection="1"/>
    <xf numFmtId="0" fontId="97" fillId="11" borderId="18" xfId="0" applyFont="1" applyFill="1" applyBorder="1" applyAlignment="1" applyProtection="1">
      <alignment vertical="center" wrapText="1"/>
    </xf>
    <xf numFmtId="0" fontId="30" fillId="11" borderId="0" xfId="0" applyFont="1" applyFill="1" applyBorder="1" applyAlignment="1" applyProtection="1">
      <alignment horizontal="left" wrapText="1"/>
    </xf>
    <xf numFmtId="0" fontId="71" fillId="11" borderId="0" xfId="0" applyFont="1" applyFill="1" applyBorder="1" applyAlignment="1" applyProtection="1">
      <alignment horizontal="right" vertical="center"/>
    </xf>
    <xf numFmtId="165" fontId="71" fillId="11" borderId="0" xfId="0" applyNumberFormat="1" applyFont="1" applyFill="1" applyBorder="1" applyAlignment="1" applyProtection="1">
      <alignment horizontal="left" vertical="center"/>
    </xf>
    <xf numFmtId="0" fontId="19" fillId="11" borderId="19" xfId="0" applyFont="1" applyFill="1" applyBorder="1" applyAlignment="1" applyProtection="1">
      <alignment vertical="center"/>
    </xf>
    <xf numFmtId="0" fontId="30" fillId="11" borderId="18" xfId="0" applyFont="1" applyFill="1" applyBorder="1" applyAlignment="1" applyProtection="1">
      <alignment wrapText="1"/>
    </xf>
    <xf numFmtId="4" fontId="93" fillId="11" borderId="0" xfId="0" applyNumberFormat="1" applyFont="1" applyFill="1" applyBorder="1" applyAlignment="1" applyProtection="1"/>
    <xf numFmtId="165" fontId="35" fillId="11" borderId="0" xfId="0" applyNumberFormat="1" applyFont="1" applyFill="1" applyBorder="1" applyAlignment="1" applyProtection="1">
      <alignment horizontal="right"/>
    </xf>
    <xf numFmtId="165" fontId="35" fillId="11" borderId="0" xfId="0" applyNumberFormat="1" applyFont="1" applyFill="1" applyBorder="1" applyAlignment="1" applyProtection="1">
      <alignment horizontal="left"/>
    </xf>
    <xf numFmtId="0" fontId="71" fillId="11" borderId="18" xfId="0" applyFont="1" applyFill="1" applyBorder="1" applyAlignment="1" applyProtection="1">
      <alignment horizontal="center" wrapText="1"/>
    </xf>
    <xf numFmtId="0" fontId="85" fillId="11" borderId="0" xfId="0" applyFont="1" applyFill="1" applyBorder="1" applyAlignment="1" applyProtection="1">
      <alignment horizontal="left" wrapText="1"/>
    </xf>
    <xf numFmtId="0" fontId="71" fillId="11" borderId="0" xfId="0" applyFont="1" applyFill="1" applyBorder="1" applyAlignment="1" applyProtection="1">
      <alignment horizontal="left" vertical="center"/>
    </xf>
    <xf numFmtId="0" fontId="19" fillId="11" borderId="19" xfId="0" applyFont="1" applyFill="1" applyBorder="1" applyAlignment="1" applyProtection="1">
      <alignment horizontal="right" vertical="center"/>
    </xf>
    <xf numFmtId="0" fontId="10" fillId="11" borderId="18" xfId="0" applyFont="1" applyFill="1" applyBorder="1" applyAlignment="1" applyProtection="1">
      <alignment horizontal="center" vertical="center" wrapText="1"/>
    </xf>
    <xf numFmtId="0" fontId="10" fillId="11" borderId="0" xfId="0" applyFont="1" applyFill="1" applyBorder="1" applyAlignment="1" applyProtection="1">
      <alignment horizontal="left" vertical="center" wrapText="1"/>
    </xf>
    <xf numFmtId="4" fontId="42" fillId="11" borderId="0" xfId="0" applyNumberFormat="1" applyFont="1" applyFill="1" applyBorder="1" applyAlignment="1" applyProtection="1"/>
    <xf numFmtId="0" fontId="97" fillId="11" borderId="0" xfId="0" applyFont="1" applyFill="1" applyBorder="1" applyAlignment="1" applyProtection="1">
      <alignment horizontal="left" vertical="center" wrapText="1"/>
    </xf>
    <xf numFmtId="0" fontId="43" fillId="11" borderId="21" xfId="0" applyFont="1" applyFill="1" applyBorder="1" applyAlignment="1" applyProtection="1">
      <alignment horizontal="left" vertical="center"/>
    </xf>
    <xf numFmtId="0" fontId="43" fillId="11" borderId="22" xfId="0" applyFont="1" applyFill="1" applyBorder="1" applyAlignment="1" applyProtection="1">
      <alignment horizontal="left" vertical="center"/>
    </xf>
    <xf numFmtId="4" fontId="43" fillId="11" borderId="22" xfId="0" applyNumberFormat="1" applyFont="1" applyFill="1" applyBorder="1" applyAlignment="1" applyProtection="1">
      <alignment horizontal="left" vertical="center"/>
    </xf>
    <xf numFmtId="0" fontId="19" fillId="11" borderId="22" xfId="0" applyFont="1" applyFill="1" applyBorder="1" applyAlignment="1" applyProtection="1">
      <alignment horizontal="left" vertical="center"/>
    </xf>
    <xf numFmtId="0" fontId="19" fillId="11" borderId="23" xfId="0" applyFont="1" applyFill="1" applyBorder="1" applyAlignment="1" applyProtection="1">
      <alignment horizontal="left" vertical="center"/>
    </xf>
    <xf numFmtId="4" fontId="28" fillId="4" borderId="0" xfId="0" applyNumberFormat="1" applyFont="1" applyFill="1" applyBorder="1" applyProtection="1"/>
    <xf numFmtId="0" fontId="99" fillId="4" borderId="0" xfId="0" applyFont="1" applyFill="1" applyBorder="1" applyProtection="1"/>
    <xf numFmtId="165" fontId="92" fillId="11" borderId="0" xfId="0" applyNumberFormat="1" applyFont="1" applyFill="1" applyBorder="1" applyAlignment="1" applyProtection="1">
      <alignment horizontal="right"/>
    </xf>
    <xf numFmtId="165" fontId="92" fillId="11" borderId="0" xfId="0" applyNumberFormat="1" applyFont="1" applyFill="1" applyBorder="1" applyAlignment="1" applyProtection="1">
      <alignment horizontal="left"/>
    </xf>
    <xf numFmtId="0" fontId="19" fillId="11" borderId="0" xfId="0" applyFont="1" applyFill="1" applyBorder="1" applyAlignment="1" applyProtection="1">
      <alignment horizontal="right" vertical="center"/>
    </xf>
    <xf numFmtId="0" fontId="101" fillId="4" borderId="0" xfId="0" applyFont="1" applyFill="1" applyBorder="1" applyAlignment="1" applyProtection="1">
      <alignment horizontal="left" indent="1"/>
    </xf>
    <xf numFmtId="0" fontId="102" fillId="4" borderId="0" xfId="0" applyFont="1" applyFill="1" applyBorder="1" applyProtection="1"/>
    <xf numFmtId="0" fontId="103" fillId="4" borderId="0" xfId="0" applyFont="1" applyFill="1" applyBorder="1" applyProtection="1"/>
    <xf numFmtId="0" fontId="19" fillId="4" borderId="0" xfId="0" applyFont="1" applyFill="1" applyBorder="1" applyAlignment="1" applyProtection="1">
      <alignment vertical="center" wrapText="1"/>
    </xf>
    <xf numFmtId="0" fontId="104" fillId="4" borderId="13" xfId="0" applyFont="1" applyFill="1" applyBorder="1" applyAlignment="1" applyProtection="1">
      <alignment vertical="center" wrapText="1"/>
    </xf>
    <xf numFmtId="4" fontId="90" fillId="4" borderId="0" xfId="0" applyNumberFormat="1" applyFont="1" applyFill="1" applyBorder="1" applyAlignment="1" applyProtection="1">
      <alignment horizontal="right" vertical="center" wrapText="1"/>
    </xf>
    <xf numFmtId="168" fontId="51" fillId="4" borderId="0" xfId="0" applyNumberFormat="1" applyFont="1" applyFill="1" applyBorder="1" applyAlignment="1" applyProtection="1">
      <alignment vertical="center"/>
    </xf>
    <xf numFmtId="0" fontId="51" fillId="11" borderId="0" xfId="0" applyFont="1" applyFill="1" applyBorder="1" applyAlignment="1" applyProtection="1">
      <alignment horizontal="right" vertical="center"/>
    </xf>
    <xf numFmtId="0" fontId="51" fillId="11" borderId="0" xfId="0" applyFont="1" applyFill="1" applyBorder="1" applyAlignment="1" applyProtection="1">
      <alignment horizontal="left" vertical="center"/>
    </xf>
    <xf numFmtId="0" fontId="110" fillId="0" borderId="25" xfId="0" applyFont="1" applyBorder="1"/>
    <xf numFmtId="0" fontId="0" fillId="0" borderId="26" xfId="0" applyBorder="1"/>
    <xf numFmtId="1" fontId="0" fillId="0" borderId="27" xfId="0" applyNumberFormat="1" applyBorder="1"/>
    <xf numFmtId="0" fontId="111" fillId="0" borderId="28" xfId="0" applyFont="1" applyBorder="1"/>
    <xf numFmtId="0" fontId="112" fillId="0" borderId="29" xfId="0" applyFont="1" applyBorder="1"/>
    <xf numFmtId="0" fontId="112" fillId="0" borderId="30" xfId="0" applyFont="1" applyBorder="1"/>
    <xf numFmtId="0" fontId="112" fillId="0" borderId="31" xfId="0" applyFont="1" applyBorder="1"/>
    <xf numFmtId="0" fontId="112" fillId="0" borderId="32" xfId="0" applyFont="1" applyBorder="1"/>
    <xf numFmtId="0" fontId="112" fillId="0" borderId="0" xfId="0" applyFont="1" applyBorder="1"/>
    <xf numFmtId="0" fontId="113" fillId="0" borderId="0" xfId="0" applyFont="1"/>
    <xf numFmtId="0" fontId="114" fillId="0" borderId="31" xfId="0" applyFont="1" applyBorder="1"/>
    <xf numFmtId="0" fontId="112" fillId="0" borderId="31" xfId="0" applyFont="1" applyBorder="1" applyAlignment="1">
      <alignment horizontal="left" indent="1"/>
    </xf>
    <xf numFmtId="0" fontId="112" fillId="0" borderId="33" xfId="0" applyFont="1" applyBorder="1" applyAlignment="1">
      <alignment horizontal="left" indent="1"/>
    </xf>
    <xf numFmtId="0" fontId="112" fillId="0" borderId="34" xfId="0" applyFont="1" applyBorder="1"/>
    <xf numFmtId="0" fontId="112" fillId="0" borderId="35" xfId="0" applyFont="1" applyBorder="1"/>
    <xf numFmtId="0" fontId="115" fillId="0" borderId="0" xfId="0" applyFont="1"/>
    <xf numFmtId="0" fontId="112" fillId="0" borderId="0" xfId="0" applyFont="1"/>
    <xf numFmtId="0" fontId="0" fillId="0" borderId="31" xfId="0" applyBorder="1"/>
    <xf numFmtId="0" fontId="0" fillId="0" borderId="32" xfId="0" applyBorder="1"/>
    <xf numFmtId="0" fontId="116" fillId="0" borderId="0" xfId="1" applyFont="1" applyBorder="1" applyAlignment="1" applyProtection="1"/>
    <xf numFmtId="0" fontId="0" fillId="15" borderId="0" xfId="0" applyFont="1" applyFill="1"/>
    <xf numFmtId="0" fontId="113" fillId="13" borderId="0" xfId="0" applyFont="1" applyFill="1"/>
    <xf numFmtId="0" fontId="114" fillId="0" borderId="31" xfId="0" applyFont="1" applyBorder="1" applyAlignment="1">
      <alignment horizontal="left"/>
    </xf>
    <xf numFmtId="0" fontId="0" fillId="0" borderId="0" xfId="0" applyFont="1" applyBorder="1"/>
    <xf numFmtId="0" fontId="71" fillId="16" borderId="5" xfId="0" applyFont="1" applyFill="1" applyBorder="1" applyAlignment="1">
      <alignment horizontal="center" vertical="center"/>
    </xf>
    <xf numFmtId="0" fontId="51" fillId="16" borderId="1" xfId="0" applyFont="1" applyFill="1" applyBorder="1" applyAlignment="1">
      <alignment horizontal="center" vertical="center" wrapText="1"/>
    </xf>
    <xf numFmtId="171" fontId="35" fillId="0" borderId="9" xfId="0" applyNumberFormat="1" applyFont="1" applyBorder="1"/>
    <xf numFmtId="171" fontId="35" fillId="0" borderId="37" xfId="0" applyNumberFormat="1" applyFont="1" applyBorder="1"/>
    <xf numFmtId="0" fontId="51" fillId="17" borderId="1" xfId="0" applyFont="1" applyFill="1" applyBorder="1" applyAlignment="1">
      <alignment horizontal="center" vertical="center" wrapText="1"/>
    </xf>
    <xf numFmtId="0" fontId="51" fillId="0" borderId="0" xfId="0" applyFont="1" applyBorder="1" applyAlignment="1">
      <alignment horizontal="center" vertical="center" wrapText="1"/>
    </xf>
    <xf numFmtId="171" fontId="35" fillId="0" borderId="0" xfId="0" applyNumberFormat="1" applyFont="1" applyBorder="1"/>
    <xf numFmtId="171" fontId="35" fillId="0" borderId="0" xfId="0" applyNumberFormat="1" applyFont="1" applyBorder="1" applyAlignment="1">
      <alignment vertical="center"/>
    </xf>
    <xf numFmtId="0" fontId="117" fillId="0" borderId="0" xfId="0" applyFont="1"/>
    <xf numFmtId="0" fontId="113" fillId="15" borderId="0" xfId="0" applyFont="1" applyFill="1"/>
    <xf numFmtId="0" fontId="0" fillId="13" borderId="27" xfId="0" applyFill="1" applyBorder="1"/>
    <xf numFmtId="0" fontId="0" fillId="16" borderId="27" xfId="0" applyFill="1" applyBorder="1"/>
    <xf numFmtId="0" fontId="118" fillId="0" borderId="38" xfId="0" applyFont="1" applyBorder="1" applyAlignment="1" applyProtection="1">
      <alignment horizontal="center" vertical="center" wrapText="1"/>
    </xf>
    <xf numFmtId="0" fontId="113" fillId="0" borderId="27" xfId="0" applyFont="1" applyBorder="1"/>
    <xf numFmtId="0" fontId="118" fillId="13" borderId="38" xfId="0" applyFont="1" applyFill="1" applyBorder="1" applyAlignment="1" applyProtection="1">
      <alignment horizontal="center" vertical="center" wrapText="1"/>
    </xf>
    <xf numFmtId="0" fontId="118" fillId="0" borderId="38" xfId="0" applyFont="1" applyBorder="1" applyAlignment="1" applyProtection="1">
      <alignment horizontal="center" vertical="center"/>
    </xf>
    <xf numFmtId="0" fontId="118" fillId="0" borderId="27" xfId="0" applyFont="1" applyBorder="1" applyAlignment="1" applyProtection="1">
      <alignment horizontal="center" vertical="center"/>
    </xf>
    <xf numFmtId="0" fontId="118" fillId="18" borderId="27" xfId="0" applyFont="1" applyFill="1" applyBorder="1" applyAlignment="1" applyProtection="1">
      <alignment horizontal="left" vertical="center"/>
    </xf>
    <xf numFmtId="166" fontId="3" fillId="0" borderId="25" xfId="0" applyNumberFormat="1" applyFont="1" applyBorder="1" applyAlignment="1" applyProtection="1">
      <alignment horizontal="left" vertical="center"/>
    </xf>
    <xf numFmtId="0" fontId="0" fillId="0" borderId="27" xfId="0" applyFont="1" applyBorder="1"/>
    <xf numFmtId="171" fontId="3" fillId="0" borderId="39" xfId="0" applyNumberFormat="1" applyFont="1" applyBorder="1" applyAlignment="1" applyProtection="1">
      <alignment horizontal="center"/>
    </xf>
    <xf numFmtId="0" fontId="3" fillId="0" borderId="27" xfId="0" applyFont="1" applyBorder="1" applyAlignment="1" applyProtection="1">
      <alignment horizontal="right"/>
    </xf>
    <xf numFmtId="4" fontId="3" fillId="0" borderId="27" xfId="0" applyNumberFormat="1" applyFont="1" applyBorder="1" applyAlignment="1" applyProtection="1">
      <alignment horizontal="right"/>
    </xf>
    <xf numFmtId="4" fontId="0" fillId="0" borderId="27" xfId="0" applyNumberFormat="1" applyBorder="1" applyAlignment="1">
      <alignment horizontal="right"/>
    </xf>
    <xf numFmtId="0" fontId="0" fillId="13" borderId="27" xfId="0" applyFont="1" applyFill="1" applyBorder="1"/>
    <xf numFmtId="166" fontId="3" fillId="0" borderId="0" xfId="0" applyNumberFormat="1" applyFont="1" applyBorder="1" applyAlignment="1" applyProtection="1">
      <alignment horizontal="left" vertical="center"/>
    </xf>
    <xf numFmtId="171" fontId="3" fillId="0" borderId="0" xfId="0" applyNumberFormat="1" applyFont="1" applyBorder="1" applyAlignment="1" applyProtection="1">
      <alignment horizontal="right"/>
    </xf>
    <xf numFmtId="4" fontId="3" fillId="0" borderId="0" xfId="0" applyNumberFormat="1" applyFont="1" applyBorder="1" applyAlignment="1" applyProtection="1">
      <alignment horizontal="right"/>
    </xf>
    <xf numFmtId="171" fontId="3" fillId="0" borderId="0" xfId="0" applyNumberFormat="1" applyFont="1" applyBorder="1" applyAlignment="1" applyProtection="1">
      <alignment horizontal="center"/>
    </xf>
    <xf numFmtId="0" fontId="118" fillId="0" borderId="27" xfId="0" applyFont="1" applyBorder="1" applyAlignment="1" applyProtection="1">
      <alignment horizontal="center" vertical="center" wrapText="1"/>
    </xf>
    <xf numFmtId="0" fontId="118" fillId="13" borderId="27" xfId="0" applyFont="1" applyFill="1" applyBorder="1" applyAlignment="1" applyProtection="1">
      <alignment horizontal="center" vertical="center" wrapText="1"/>
    </xf>
    <xf numFmtId="0" fontId="115" fillId="0" borderId="27" xfId="0" applyFont="1" applyBorder="1"/>
    <xf numFmtId="0" fontId="4" fillId="0" borderId="27" xfId="0" applyFont="1" applyBorder="1"/>
    <xf numFmtId="171" fontId="3" fillId="13" borderId="27" xfId="0" applyNumberFormat="1" applyFont="1" applyFill="1" applyBorder="1" applyAlignment="1" applyProtection="1">
      <alignment horizontal="right"/>
    </xf>
    <xf numFmtId="2" fontId="3" fillId="0" borderId="27" xfId="0" applyNumberFormat="1" applyFont="1" applyBorder="1" applyAlignment="1" applyProtection="1">
      <alignment horizontal="right" vertical="center"/>
    </xf>
    <xf numFmtId="0" fontId="112" fillId="0" borderId="27" xfId="0" applyFont="1" applyBorder="1"/>
    <xf numFmtId="4" fontId="0" fillId="0" borderId="0" xfId="0" applyNumberFormat="1"/>
    <xf numFmtId="0" fontId="118" fillId="16" borderId="27" xfId="0" applyFont="1" applyFill="1" applyBorder="1" applyAlignment="1" applyProtection="1">
      <alignment horizontal="center" vertical="center" wrapText="1"/>
    </xf>
    <xf numFmtId="3" fontId="4" fillId="0" borderId="27" xfId="0" applyNumberFormat="1" applyFont="1" applyBorder="1"/>
    <xf numFmtId="3" fontId="3" fillId="0" borderId="27" xfId="0" applyNumberFormat="1" applyFont="1" applyBorder="1" applyAlignment="1" applyProtection="1">
      <alignment horizontal="right"/>
    </xf>
    <xf numFmtId="0" fontId="0" fillId="0" borderId="27" xfId="0" applyBorder="1"/>
    <xf numFmtId="0" fontId="4" fillId="13" borderId="27" xfId="0" applyFont="1" applyFill="1" applyBorder="1"/>
    <xf numFmtId="3" fontId="4" fillId="13" borderId="27" xfId="0" applyNumberFormat="1" applyFont="1" applyFill="1" applyBorder="1"/>
    <xf numFmtId="0" fontId="0" fillId="15" borderId="0" xfId="0" applyFont="1" applyFill="1" applyAlignment="1">
      <alignment horizontal="left" vertical="center"/>
    </xf>
    <xf numFmtId="0" fontId="119" fillId="0" borderId="0" xfId="0" applyFont="1"/>
    <xf numFmtId="0" fontId="120" fillId="16" borderId="27" xfId="0" applyFont="1" applyFill="1" applyBorder="1" applyAlignment="1" applyProtection="1">
      <alignment horizontal="center" vertical="center" wrapText="1"/>
    </xf>
    <xf numFmtId="0" fontId="120" fillId="0" borderId="27" xfId="0" applyFont="1" applyBorder="1" applyAlignment="1" applyProtection="1">
      <alignment horizontal="center" vertical="center"/>
    </xf>
    <xf numFmtId="0" fontId="120" fillId="13" borderId="27" xfId="0" applyFont="1" applyFill="1" applyBorder="1" applyAlignment="1" applyProtection="1">
      <alignment horizontal="center" vertical="center"/>
    </xf>
    <xf numFmtId="0" fontId="120" fillId="0" borderId="27" xfId="0" applyFont="1" applyBorder="1" applyAlignment="1" applyProtection="1">
      <alignment horizontal="center" vertical="center" wrapText="1"/>
    </xf>
    <xf numFmtId="0" fontId="54" fillId="0" borderId="27" xfId="0" applyFont="1" applyBorder="1" applyAlignment="1" applyProtection="1">
      <alignment horizontal="left"/>
    </xf>
    <xf numFmtId="2" fontId="54" fillId="0" borderId="27" xfId="0" applyNumberFormat="1" applyFont="1" applyBorder="1" applyAlignment="1" applyProtection="1">
      <alignment horizontal="left"/>
    </xf>
    <xf numFmtId="0" fontId="54" fillId="0" borderId="6" xfId="0" applyFont="1" applyBorder="1" applyAlignment="1" applyProtection="1">
      <alignment horizontal="left" vertical="top" wrapText="1"/>
    </xf>
    <xf numFmtId="0" fontId="28" fillId="0" borderId="6" xfId="0" applyFont="1" applyBorder="1" applyAlignment="1"/>
    <xf numFmtId="2" fontId="28" fillId="0" borderId="6" xfId="0" applyNumberFormat="1" applyFont="1" applyBorder="1" applyAlignment="1"/>
    <xf numFmtId="2" fontId="28" fillId="0" borderId="1" xfId="0" applyNumberFormat="1" applyFont="1" applyBorder="1" applyAlignment="1">
      <alignment horizontal="center"/>
    </xf>
    <xf numFmtId="4" fontId="28" fillId="0" borderId="40" xfId="0" applyNumberFormat="1" applyFont="1" applyBorder="1" applyAlignment="1">
      <alignment horizontal="center"/>
    </xf>
    <xf numFmtId="0" fontId="28" fillId="4" borderId="6" xfId="0" applyFont="1" applyFill="1" applyBorder="1" applyAlignment="1"/>
    <xf numFmtId="4" fontId="28" fillId="4" borderId="40" xfId="0" applyNumberFormat="1" applyFont="1" applyFill="1" applyBorder="1" applyAlignment="1">
      <alignment horizontal="center"/>
    </xf>
    <xf numFmtId="2" fontId="54" fillId="0" borderId="27" xfId="0" applyNumberFormat="1" applyFont="1" applyBorder="1" applyAlignment="1" applyProtection="1">
      <alignment horizontal="right" vertical="center"/>
    </xf>
    <xf numFmtId="0" fontId="54" fillId="0" borderId="0" xfId="0" applyFont="1" applyBorder="1" applyProtection="1"/>
    <xf numFmtId="2" fontId="54" fillId="18" borderId="0" xfId="0" applyNumberFormat="1" applyFont="1" applyFill="1" applyBorder="1" applyProtection="1"/>
    <xf numFmtId="0" fontId="28" fillId="0" borderId="27" xfId="0" applyFont="1" applyBorder="1" applyAlignment="1"/>
    <xf numFmtId="0" fontId="121" fillId="0" borderId="0" xfId="0" applyFont="1"/>
    <xf numFmtId="0" fontId="28" fillId="0" borderId="6" xfId="0" applyFont="1" applyBorder="1" applyAlignment="1">
      <alignment wrapText="1"/>
    </xf>
    <xf numFmtId="0" fontId="54" fillId="13" borderId="27" xfId="0" applyFont="1" applyFill="1" applyBorder="1" applyAlignment="1" applyProtection="1">
      <alignment horizontal="left" vertical="top" wrapText="1"/>
    </xf>
    <xf numFmtId="0" fontId="28" fillId="4" borderId="6" xfId="0" applyFont="1" applyFill="1" applyBorder="1" applyAlignment="1">
      <alignment wrapText="1"/>
    </xf>
    <xf numFmtId="0" fontId="28" fillId="4" borderId="27" xfId="0" applyFont="1" applyFill="1" applyBorder="1" applyAlignment="1"/>
    <xf numFmtId="0" fontId="0" fillId="4" borderId="27" xfId="0" applyFill="1" applyBorder="1"/>
    <xf numFmtId="0" fontId="54" fillId="0" borderId="0" xfId="0" applyFont="1" applyBorder="1" applyAlignment="1" applyProtection="1">
      <alignment horizontal="left"/>
    </xf>
    <xf numFmtId="2" fontId="54" fillId="0" borderId="0" xfId="0" applyNumberFormat="1" applyFont="1" applyBorder="1" applyAlignment="1" applyProtection="1">
      <alignment horizontal="left"/>
    </xf>
    <xf numFmtId="2" fontId="0" fillId="18" borderId="0" xfId="0" applyNumberFormat="1" applyFill="1"/>
    <xf numFmtId="2" fontId="0" fillId="0" borderId="27" xfId="0" applyNumberFormat="1" applyBorder="1" applyAlignment="1">
      <alignment horizontal="right"/>
    </xf>
    <xf numFmtId="0" fontId="54" fillId="0" borderId="0" xfId="0" applyFont="1" applyBorder="1" applyAlignment="1" applyProtection="1">
      <alignment vertical="center"/>
    </xf>
    <xf numFmtId="0" fontId="0" fillId="0" borderId="0" xfId="0" applyFont="1" applyAlignment="1">
      <alignment horizontal="left"/>
    </xf>
    <xf numFmtId="1" fontId="54" fillId="0" borderId="0" xfId="0" applyNumberFormat="1" applyFont="1" applyBorder="1" applyProtection="1"/>
    <xf numFmtId="4" fontId="59" fillId="19" borderId="0" xfId="0" applyNumberFormat="1" applyFont="1" applyFill="1"/>
    <xf numFmtId="4" fontId="0" fillId="0" borderId="27" xfId="0" applyNumberFormat="1" applyBorder="1"/>
    <xf numFmtId="0" fontId="34" fillId="0" borderId="0" xfId="0" applyFont="1"/>
    <xf numFmtId="1" fontId="0" fillId="0" borderId="0" xfId="0" applyNumberFormat="1"/>
    <xf numFmtId="4" fontId="0" fillId="13" borderId="27" xfId="0" applyNumberFormat="1" applyFill="1" applyBorder="1"/>
    <xf numFmtId="4" fontId="59" fillId="13" borderId="27" xfId="0" applyNumberFormat="1" applyFont="1" applyFill="1" applyBorder="1"/>
    <xf numFmtId="170" fontId="0" fillId="0" borderId="27" xfId="0" applyNumberFormat="1" applyBorder="1"/>
    <xf numFmtId="2" fontId="0" fillId="0" borderId="27" xfId="0" applyNumberFormat="1" applyBorder="1"/>
    <xf numFmtId="172" fontId="0" fillId="0" borderId="27" xfId="0" applyNumberFormat="1" applyBorder="1"/>
    <xf numFmtId="168" fontId="0" fillId="0" borderId="27" xfId="0" applyNumberFormat="1" applyBorder="1"/>
    <xf numFmtId="169" fontId="0" fillId="0" borderId="0" xfId="0" applyNumberFormat="1"/>
    <xf numFmtId="0" fontId="122" fillId="20" borderId="27" xfId="0" applyFont="1" applyFill="1" applyBorder="1" applyAlignment="1">
      <alignment horizontal="right"/>
    </xf>
    <xf numFmtId="169" fontId="122" fillId="20" borderId="27" xfId="0" applyNumberFormat="1" applyFont="1" applyFill="1" applyBorder="1" applyAlignment="1">
      <alignment horizontal="right"/>
    </xf>
    <xf numFmtId="172" fontId="0" fillId="0" borderId="0" xfId="0" applyNumberFormat="1"/>
    <xf numFmtId="0" fontId="122" fillId="21" borderId="27" xfId="0" applyFont="1" applyFill="1" applyBorder="1" applyAlignment="1">
      <alignment horizontal="right"/>
    </xf>
    <xf numFmtId="169" fontId="122" fillId="21" borderId="27" xfId="0" applyNumberFormat="1" applyFont="1" applyFill="1" applyBorder="1" applyAlignment="1">
      <alignment horizontal="right"/>
    </xf>
    <xf numFmtId="0" fontId="54" fillId="22" borderId="27" xfId="0" applyFont="1" applyFill="1" applyBorder="1" applyAlignment="1" applyProtection="1">
      <alignment vertical="center"/>
    </xf>
    <xf numFmtId="0" fontId="54" fillId="0" borderId="0" xfId="0" applyFont="1" applyBorder="1" applyAlignment="1" applyProtection="1">
      <alignment horizontal="center" vertical="center"/>
    </xf>
    <xf numFmtId="0" fontId="54" fillId="23" borderId="0" xfId="0" applyFont="1" applyFill="1" applyBorder="1" applyAlignment="1" applyProtection="1">
      <alignment horizontal="center" vertical="center"/>
    </xf>
    <xf numFmtId="0" fontId="0" fillId="23" borderId="0" xfId="0" applyFont="1" applyFill="1"/>
    <xf numFmtId="0" fontId="54" fillId="24" borderId="0" xfId="0" applyFont="1" applyFill="1" applyBorder="1" applyAlignment="1" applyProtection="1">
      <alignment horizontal="center"/>
    </xf>
    <xf numFmtId="0" fontId="0" fillId="24" borderId="0" xfId="0" applyFont="1" applyFill="1"/>
    <xf numFmtId="0" fontId="54" fillId="0" borderId="0" xfId="0" applyFont="1" applyBorder="1" applyAlignment="1" applyProtection="1">
      <alignment horizontal="center"/>
    </xf>
    <xf numFmtId="0" fontId="54" fillId="25" borderId="27" xfId="0" applyFont="1" applyFill="1" applyBorder="1" applyAlignment="1" applyProtection="1">
      <alignment vertical="center"/>
    </xf>
    <xf numFmtId="0" fontId="54" fillId="26" borderId="27" xfId="0" applyFont="1" applyFill="1" applyBorder="1" applyAlignment="1" applyProtection="1">
      <alignment vertical="center"/>
    </xf>
    <xf numFmtId="0" fontId="113" fillId="4" borderId="27" xfId="0" applyFont="1" applyFill="1" applyBorder="1" applyAlignment="1">
      <alignment horizontal="center" vertical="center" wrapText="1"/>
    </xf>
    <xf numFmtId="0" fontId="113" fillId="27" borderId="27" xfId="0" applyFont="1" applyFill="1" applyBorder="1" applyAlignment="1">
      <alignment horizontal="center" vertical="center" wrapText="1"/>
    </xf>
    <xf numFmtId="1" fontId="0" fillId="0" borderId="41" xfId="0" applyNumberFormat="1" applyBorder="1"/>
    <xf numFmtId="0" fontId="113" fillId="27" borderId="27" xfId="0" applyFont="1" applyFill="1" applyBorder="1" applyAlignment="1">
      <alignment horizontal="center"/>
    </xf>
    <xf numFmtId="0" fontId="0" fillId="0" borderId="41" xfId="0" applyFont="1" applyBorder="1"/>
    <xf numFmtId="0" fontId="0" fillId="0" borderId="41" xfId="0" applyBorder="1"/>
    <xf numFmtId="4" fontId="59" fillId="0" borderId="0" xfId="0" applyNumberFormat="1" applyFont="1"/>
    <xf numFmtId="0" fontId="123" fillId="4" borderId="27" xfId="0" applyFont="1" applyFill="1" applyBorder="1" applyAlignment="1">
      <alignment horizontal="center"/>
    </xf>
    <xf numFmtId="3" fontId="59" fillId="14" borderId="27" xfId="8" applyNumberFormat="1" applyFont="1" applyFill="1" applyBorder="1" applyAlignment="1">
      <alignment horizontal="right" vertical="center"/>
    </xf>
    <xf numFmtId="3" fontId="59" fillId="4" borderId="27" xfId="8" applyNumberFormat="1" applyFont="1" applyFill="1" applyBorder="1" applyAlignment="1">
      <alignment horizontal="right" vertical="center"/>
    </xf>
    <xf numFmtId="3" fontId="59" fillId="4" borderId="27" xfId="0" applyNumberFormat="1" applyFont="1" applyFill="1" applyBorder="1"/>
    <xf numFmtId="0" fontId="59" fillId="14" borderId="27" xfId="0" applyFont="1" applyFill="1" applyBorder="1"/>
    <xf numFmtId="4" fontId="59" fillId="14" borderId="27" xfId="0" applyNumberFormat="1" applyFont="1" applyFill="1" applyBorder="1" applyAlignment="1">
      <alignment wrapText="1"/>
    </xf>
    <xf numFmtId="4" fontId="59" fillId="14" borderId="27" xfId="0" applyNumberFormat="1" applyFont="1" applyFill="1" applyBorder="1" applyAlignment="1">
      <alignment horizontal="center" wrapText="1"/>
    </xf>
    <xf numFmtId="170" fontId="59" fillId="4" borderId="27" xfId="0" applyNumberFormat="1" applyFont="1" applyFill="1" applyBorder="1" applyAlignment="1">
      <alignment horizontal="center"/>
    </xf>
    <xf numFmtId="4" fontId="59" fillId="14" borderId="27" xfId="0" applyNumberFormat="1" applyFont="1" applyFill="1" applyBorder="1"/>
    <xf numFmtId="172" fontId="59" fillId="30" borderId="27" xfId="0" applyNumberFormat="1" applyFont="1" applyFill="1" applyBorder="1"/>
    <xf numFmtId="172" fontId="59" fillId="31" borderId="27" xfId="0" applyNumberFormat="1" applyFont="1" applyFill="1" applyBorder="1"/>
    <xf numFmtId="172" fontId="59" fillId="32" borderId="27" xfId="0" applyNumberFormat="1" applyFont="1" applyFill="1" applyBorder="1"/>
    <xf numFmtId="172" fontId="59" fillId="33" borderId="27" xfId="0" applyNumberFormat="1" applyFont="1" applyFill="1" applyBorder="1"/>
    <xf numFmtId="4" fontId="59" fillId="14" borderId="27" xfId="0" applyNumberFormat="1" applyFont="1" applyFill="1" applyBorder="1" applyAlignment="1">
      <alignment horizontal="center"/>
    </xf>
    <xf numFmtId="170" fontId="59" fillId="4" borderId="27" xfId="0" applyNumberFormat="1" applyFont="1" applyFill="1" applyBorder="1"/>
    <xf numFmtId="165" fontId="0" fillId="0" borderId="41" xfId="0" applyNumberFormat="1" applyBorder="1"/>
    <xf numFmtId="3" fontId="59" fillId="14" borderId="27" xfId="0" applyNumberFormat="1" applyFont="1" applyFill="1" applyBorder="1"/>
    <xf numFmtId="166" fontId="59" fillId="14" borderId="27" xfId="0" applyNumberFormat="1" applyFont="1" applyFill="1" applyBorder="1"/>
    <xf numFmtId="0" fontId="0" fillId="14" borderId="27" xfId="0" applyFill="1" applyBorder="1"/>
    <xf numFmtId="4" fontId="59" fillId="0" borderId="27" xfId="0" applyNumberFormat="1" applyFont="1" applyBorder="1"/>
    <xf numFmtId="0" fontId="21" fillId="9" borderId="6"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wrapText="1"/>
    </xf>
    <xf numFmtId="0" fontId="21" fillId="9" borderId="6" xfId="0" applyFont="1" applyFill="1" applyBorder="1" applyAlignment="1" applyProtection="1">
      <alignment horizontal="center" vertical="center" wrapText="1"/>
    </xf>
    <xf numFmtId="0" fontId="126" fillId="34" borderId="3" xfId="0" applyFont="1" applyFill="1" applyBorder="1" applyAlignment="1" applyProtection="1">
      <alignment horizontal="center" vertical="center"/>
    </xf>
    <xf numFmtId="0" fontId="21" fillId="4" borderId="0" xfId="0" applyFont="1" applyFill="1" applyBorder="1" applyAlignment="1" applyProtection="1">
      <alignment horizontal="center" vertical="center" wrapText="1"/>
    </xf>
    <xf numFmtId="0" fontId="21" fillId="10" borderId="1" xfId="0" applyFont="1" applyFill="1" applyBorder="1" applyAlignment="1" applyProtection="1">
      <alignment horizontal="center" vertical="center" wrapText="1"/>
    </xf>
    <xf numFmtId="1" fontId="127" fillId="4" borderId="8" xfId="0" applyNumberFormat="1" applyFont="1" applyFill="1" applyBorder="1" applyAlignment="1" applyProtection="1">
      <alignment horizontal="center" vertical="center"/>
    </xf>
    <xf numFmtId="0" fontId="127" fillId="10" borderId="0" xfId="0" applyFont="1" applyFill="1" applyBorder="1" applyProtection="1"/>
    <xf numFmtId="0" fontId="127" fillId="10" borderId="0" xfId="0" applyFont="1" applyFill="1" applyBorder="1" applyAlignment="1" applyProtection="1">
      <alignment horizontal="center" vertical="center"/>
    </xf>
    <xf numFmtId="4" fontId="127" fillId="10" borderId="0" xfId="0" applyNumberFormat="1" applyFont="1" applyFill="1" applyBorder="1" applyAlignment="1" applyProtection="1">
      <alignment horizontal="center"/>
    </xf>
    <xf numFmtId="0" fontId="129" fillId="10" borderId="1" xfId="0" applyFont="1" applyFill="1" applyBorder="1" applyAlignment="1" applyProtection="1">
      <alignment horizontal="center" vertical="center" wrapText="1"/>
    </xf>
    <xf numFmtId="1" fontId="127" fillId="4" borderId="3" xfId="0" applyNumberFormat="1" applyFont="1" applyFill="1" applyBorder="1" applyAlignment="1" applyProtection="1">
      <alignment horizontal="center" vertical="center"/>
    </xf>
    <xf numFmtId="165" fontId="130" fillId="4" borderId="1" xfId="0" applyNumberFormat="1" applyFont="1" applyFill="1" applyBorder="1" applyAlignment="1" applyProtection="1">
      <alignment horizontal="center" vertical="center"/>
    </xf>
    <xf numFmtId="1" fontId="127" fillId="4" borderId="9" xfId="0" applyNumberFormat="1" applyFont="1" applyFill="1" applyBorder="1" applyAlignment="1" applyProtection="1">
      <alignment horizontal="center" vertical="center"/>
    </xf>
    <xf numFmtId="0" fontId="129" fillId="10" borderId="6" xfId="0" applyFont="1" applyFill="1" applyBorder="1" applyAlignment="1" applyProtection="1">
      <alignment horizontal="center" vertical="center" wrapText="1"/>
    </xf>
    <xf numFmtId="0" fontId="0" fillId="0" borderId="0" xfId="0" applyAlignment="1">
      <alignment wrapText="1"/>
    </xf>
    <xf numFmtId="0" fontId="0" fillId="0" borderId="0" xfId="0" applyAlignment="1">
      <alignment horizontal="center" wrapText="1"/>
    </xf>
    <xf numFmtId="0" fontId="0" fillId="0" borderId="27" xfId="0" applyBorder="1" applyAlignment="1">
      <alignment horizontal="center" vertical="center"/>
    </xf>
    <xf numFmtId="0" fontId="0" fillId="0" borderId="27" xfId="0" applyBorder="1" applyAlignment="1">
      <alignment horizontal="center" vertical="center" wrapText="1"/>
    </xf>
    <xf numFmtId="166" fontId="0" fillId="0" borderId="27" xfId="0" applyNumberFormat="1" applyBorder="1"/>
    <xf numFmtId="173" fontId="0" fillId="0" borderId="27" xfId="0" applyNumberFormat="1" applyBorder="1"/>
    <xf numFmtId="0" fontId="132" fillId="0" borderId="27" xfId="0" applyFont="1" applyBorder="1" applyAlignment="1">
      <alignment horizontal="center" vertical="center"/>
    </xf>
    <xf numFmtId="0" fontId="132" fillId="0" borderId="27" xfId="0" applyFont="1" applyBorder="1" applyAlignment="1">
      <alignment horizontal="center" vertical="center" wrapText="1"/>
    </xf>
    <xf numFmtId="11" fontId="28" fillId="36" borderId="1" xfId="0" applyNumberFormat="1" applyFont="1" applyFill="1" applyBorder="1" applyAlignment="1" applyProtection="1">
      <alignment horizontal="right" vertical="center" wrapText="1"/>
    </xf>
    <xf numFmtId="11" fontId="3" fillId="0" borderId="27" xfId="0" applyNumberFormat="1" applyFont="1" applyBorder="1" applyAlignment="1" applyProtection="1">
      <alignment horizontal="right"/>
    </xf>
    <xf numFmtId="11" fontId="3" fillId="0" borderId="0" xfId="0" applyNumberFormat="1" applyFont="1" applyBorder="1" applyAlignment="1" applyProtection="1">
      <alignment horizontal="right"/>
    </xf>
    <xf numFmtId="11" fontId="28" fillId="4" borderId="1" xfId="0" applyNumberFormat="1" applyFont="1" applyFill="1" applyBorder="1" applyAlignment="1" applyProtection="1">
      <alignment horizontal="right" vertical="center" wrapText="1"/>
    </xf>
    <xf numFmtId="0" fontId="118" fillId="18" borderId="27" xfId="0" applyFont="1" applyFill="1" applyBorder="1" applyAlignment="1" applyProtection="1">
      <alignment horizontal="left" vertical="center" wrapText="1"/>
    </xf>
    <xf numFmtId="10" fontId="0" fillId="0" borderId="0" xfId="0" applyNumberFormat="1"/>
    <xf numFmtId="3" fontId="59" fillId="38" borderId="27" xfId="8" applyNumberFormat="1" applyFont="1" applyFill="1" applyBorder="1" applyAlignment="1">
      <alignment horizontal="right" vertical="center"/>
    </xf>
    <xf numFmtId="0" fontId="0" fillId="38" borderId="27" xfId="0" applyFill="1" applyBorder="1"/>
    <xf numFmtId="0" fontId="0" fillId="39" borderId="0" xfId="0" applyFill="1"/>
    <xf numFmtId="0" fontId="28" fillId="40" borderId="0" xfId="0" applyFont="1" applyFill="1" applyBorder="1" applyAlignment="1" applyProtection="1">
      <alignment horizontal="left" vertical="center" wrapText="1"/>
    </xf>
    <xf numFmtId="0" fontId="35" fillId="36" borderId="0" xfId="0" applyFont="1" applyFill="1" applyBorder="1" applyProtection="1"/>
    <xf numFmtId="0" fontId="54" fillId="36" borderId="0" xfId="0" applyFont="1" applyFill="1" applyBorder="1" applyAlignment="1" applyProtection="1">
      <alignment horizontal="right"/>
    </xf>
    <xf numFmtId="0" fontId="10" fillId="41" borderId="0" xfId="0" applyFont="1" applyFill="1" applyBorder="1" applyAlignment="1" applyProtection="1">
      <alignment vertical="center"/>
    </xf>
    <xf numFmtId="0" fontId="21" fillId="9" borderId="6"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wrapText="1"/>
    </xf>
    <xf numFmtId="0" fontId="138" fillId="43" borderId="6" xfId="0" applyFont="1" applyFill="1" applyBorder="1" applyAlignment="1" applyProtection="1">
      <alignment vertical="center" wrapText="1"/>
    </xf>
    <xf numFmtId="0" fontId="138" fillId="43" borderId="1" xfId="0" applyFont="1" applyFill="1" applyBorder="1" applyAlignment="1" applyProtection="1">
      <alignment horizontal="center" vertical="center" wrapText="1"/>
    </xf>
    <xf numFmtId="0" fontId="19" fillId="4" borderId="0" xfId="0" applyFont="1" applyFill="1" applyBorder="1" applyAlignment="1" applyProtection="1">
      <alignment horizontal="center" vertical="center"/>
    </xf>
    <xf numFmtId="0" fontId="0" fillId="0" borderId="0" xfId="0" applyFill="1" applyBorder="1"/>
    <xf numFmtId="166" fontId="28" fillId="36" borderId="1" xfId="0" applyNumberFormat="1" applyFont="1" applyFill="1" applyBorder="1" applyAlignment="1" applyProtection="1">
      <alignment horizontal="left" vertical="center" wrapText="1"/>
    </xf>
    <xf numFmtId="165" fontId="65" fillId="36" borderId="1" xfId="0" applyNumberFormat="1" applyFont="1" applyFill="1" applyBorder="1" applyAlignment="1" applyProtection="1">
      <alignment horizontal="left" vertical="center"/>
    </xf>
    <xf numFmtId="0" fontId="19" fillId="4" borderId="0" xfId="0" applyFont="1" applyFill="1" applyBorder="1" applyAlignment="1" applyProtection="1">
      <alignment vertical="center"/>
    </xf>
    <xf numFmtId="4" fontId="19" fillId="4" borderId="0" xfId="0" applyNumberFormat="1" applyFont="1" applyFill="1" applyBorder="1" applyAlignment="1" applyProtection="1">
      <alignment horizontal="center" vertical="center" wrapText="1"/>
    </xf>
    <xf numFmtId="0" fontId="19" fillId="4" borderId="0" xfId="0" applyFont="1" applyFill="1" applyBorder="1" applyAlignment="1" applyProtection="1">
      <alignment horizontal="center" vertical="center"/>
      <protection locked="0"/>
    </xf>
    <xf numFmtId="4" fontId="130" fillId="35" borderId="1" xfId="0" applyNumberFormat="1" applyFont="1" applyFill="1" applyBorder="1" applyAlignment="1" applyProtection="1">
      <alignment horizontal="center" vertical="center"/>
      <protection locked="0"/>
    </xf>
    <xf numFmtId="4" fontId="130" fillId="35" borderId="4" xfId="0" applyNumberFormat="1" applyFont="1" applyFill="1" applyBorder="1" applyAlignment="1" applyProtection="1">
      <alignment horizontal="center" vertical="center"/>
      <protection locked="0"/>
    </xf>
    <xf numFmtId="4" fontId="130" fillId="35" borderId="10" xfId="0" applyNumberFormat="1" applyFont="1" applyFill="1" applyBorder="1" applyAlignment="1" applyProtection="1">
      <alignment horizontal="center" vertical="center"/>
      <protection locked="0"/>
    </xf>
    <xf numFmtId="49" fontId="128" fillId="35" borderId="4" xfId="0" applyNumberFormat="1" applyFont="1" applyFill="1" applyBorder="1" applyAlignment="1" applyProtection="1">
      <alignment horizontal="center" vertical="center"/>
      <protection locked="0"/>
    </xf>
    <xf numFmtId="4" fontId="128" fillId="35" borderId="4" xfId="0" applyNumberFormat="1" applyFont="1" applyFill="1" applyBorder="1" applyAlignment="1" applyProtection="1">
      <alignment horizontal="center" vertical="center"/>
      <protection locked="0"/>
    </xf>
    <xf numFmtId="4" fontId="130" fillId="35" borderId="6" xfId="0" applyNumberFormat="1" applyFont="1" applyFill="1" applyBorder="1" applyAlignment="1" applyProtection="1">
      <alignment horizontal="center" vertical="center"/>
      <protection locked="0"/>
    </xf>
    <xf numFmtId="165" fontId="130" fillId="35" borderId="1" xfId="0" applyNumberFormat="1" applyFont="1" applyFill="1" applyBorder="1" applyAlignment="1" applyProtection="1">
      <alignment horizontal="center" vertical="center"/>
      <protection locked="0"/>
    </xf>
    <xf numFmtId="1" fontId="6" fillId="35" borderId="3" xfId="0" applyNumberFormat="1" applyFont="1" applyFill="1" applyBorder="1" applyAlignment="1" applyProtection="1">
      <alignment horizontal="center" vertical="center"/>
      <protection locked="0"/>
    </xf>
    <xf numFmtId="4" fontId="6" fillId="35" borderId="7" xfId="0" applyNumberFormat="1" applyFont="1" applyFill="1" applyBorder="1" applyAlignment="1" applyProtection="1">
      <alignment horizontal="right" vertical="center"/>
      <protection locked="0"/>
    </xf>
    <xf numFmtId="0" fontId="6" fillId="35" borderId="1" xfId="0" applyFont="1" applyFill="1" applyBorder="1" applyAlignment="1" applyProtection="1">
      <alignment horizontal="center" vertical="center"/>
      <protection locked="0"/>
    </xf>
    <xf numFmtId="1" fontId="22" fillId="35" borderId="3" xfId="0" applyNumberFormat="1" applyFont="1" applyFill="1" applyBorder="1" applyAlignment="1" applyProtection="1">
      <alignment horizontal="center" vertical="center"/>
      <protection locked="0"/>
    </xf>
    <xf numFmtId="0" fontId="28" fillId="11" borderId="1" xfId="0" applyFont="1" applyFill="1" applyBorder="1" applyAlignment="1" applyProtection="1">
      <alignment horizontal="left" vertical="center" wrapText="1"/>
      <protection locked="0"/>
    </xf>
    <xf numFmtId="0" fontId="28" fillId="35" borderId="1" xfId="0" applyFont="1" applyFill="1" applyBorder="1" applyAlignment="1" applyProtection="1">
      <alignment horizontal="center" vertical="center" wrapText="1"/>
      <protection locked="0"/>
    </xf>
    <xf numFmtId="165" fontId="28" fillId="35" borderId="1" xfId="0" applyNumberFormat="1" applyFont="1" applyFill="1" applyBorder="1" applyAlignment="1" applyProtection="1">
      <alignment vertical="center" wrapText="1"/>
      <protection locked="0"/>
    </xf>
    <xf numFmtId="166" fontId="28" fillId="42" borderId="1" xfId="0" applyNumberFormat="1" applyFont="1" applyFill="1" applyBorder="1" applyAlignment="1" applyProtection="1">
      <alignment horizontal="right" vertical="center" wrapText="1"/>
      <protection locked="0"/>
    </xf>
    <xf numFmtId="49" fontId="28" fillId="11" borderId="1" xfId="0" applyNumberFormat="1" applyFont="1" applyFill="1" applyBorder="1" applyAlignment="1" applyProtection="1">
      <alignment horizontal="center" vertical="center" wrapText="1"/>
      <protection locked="0"/>
    </xf>
    <xf numFmtId="165" fontId="28" fillId="35" borderId="1" xfId="0" applyNumberFormat="1" applyFont="1" applyFill="1" applyBorder="1" applyAlignment="1" applyProtection="1">
      <alignment horizontal="right" vertical="center" wrapText="1"/>
      <protection locked="0"/>
    </xf>
    <xf numFmtId="2" fontId="28" fillId="35" borderId="1" xfId="0" applyNumberFormat="1" applyFont="1" applyFill="1" applyBorder="1" applyAlignment="1" applyProtection="1">
      <alignment horizontal="right" vertical="center" wrapText="1"/>
      <protection locked="0"/>
    </xf>
    <xf numFmtId="0" fontId="28" fillId="42" borderId="1" xfId="0" applyFont="1" applyFill="1" applyBorder="1" applyAlignment="1" applyProtection="1">
      <alignment horizontal="center" vertical="center" wrapText="1"/>
      <protection locked="0"/>
    </xf>
    <xf numFmtId="3" fontId="28" fillId="42" borderId="1" xfId="0" applyNumberFormat="1" applyFont="1" applyFill="1" applyBorder="1" applyAlignment="1" applyProtection="1">
      <alignment horizontal="center" vertical="center" wrapText="1"/>
      <protection locked="0"/>
    </xf>
    <xf numFmtId="166" fontId="28" fillId="35" borderId="1" xfId="0" applyNumberFormat="1" applyFont="1" applyFill="1" applyBorder="1" applyAlignment="1" applyProtection="1">
      <alignment horizontal="center" vertical="center" wrapText="1"/>
      <protection locked="0"/>
    </xf>
    <xf numFmtId="165" fontId="65" fillId="35" borderId="1" xfId="0" applyNumberFormat="1" applyFont="1" applyFill="1" applyBorder="1" applyAlignment="1" applyProtection="1">
      <alignment horizontal="left" vertical="center"/>
      <protection locked="0"/>
    </xf>
    <xf numFmtId="0" fontId="35" fillId="35" borderId="1" xfId="0" applyFont="1" applyFill="1" applyBorder="1" applyAlignment="1" applyProtection="1">
      <alignment horizontal="left" vertical="center"/>
      <protection locked="0"/>
    </xf>
    <xf numFmtId="165" fontId="0" fillId="35" borderId="1" xfId="0" applyNumberFormat="1" applyFont="1" applyFill="1" applyBorder="1" applyAlignment="1" applyProtection="1">
      <alignment horizontal="right" vertical="center"/>
      <protection locked="0"/>
    </xf>
    <xf numFmtId="165" fontId="35" fillId="35" borderId="1" xfId="0" applyNumberFormat="1" applyFont="1" applyFill="1" applyBorder="1" applyAlignment="1" applyProtection="1">
      <alignment horizontal="left" vertical="center"/>
      <protection locked="0"/>
    </xf>
    <xf numFmtId="165" fontId="35" fillId="11" borderId="1" xfId="0" applyNumberFormat="1" applyFont="1" applyFill="1" applyBorder="1" applyAlignment="1" applyProtection="1">
      <alignment horizontal="left" vertical="center"/>
      <protection locked="0"/>
    </xf>
    <xf numFmtId="165" fontId="35" fillId="35" borderId="1" xfId="0" applyNumberFormat="1" applyFont="1" applyFill="1" applyBorder="1" applyAlignment="1" applyProtection="1">
      <alignment horizontal="right" vertical="center"/>
      <protection locked="0"/>
    </xf>
    <xf numFmtId="165" fontId="35" fillId="11" borderId="1" xfId="0" applyNumberFormat="1" applyFont="1" applyFill="1" applyBorder="1" applyAlignment="1" applyProtection="1">
      <alignment horizontal="right" vertical="center"/>
      <protection locked="0"/>
    </xf>
    <xf numFmtId="0" fontId="35" fillId="35" borderId="1" xfId="0" applyFont="1" applyFill="1" applyBorder="1" applyAlignment="1" applyProtection="1">
      <alignment horizontal="center" vertical="center"/>
      <protection locked="0"/>
    </xf>
    <xf numFmtId="167" fontId="28" fillId="35" borderId="1" xfId="0" applyNumberFormat="1" applyFont="1" applyFill="1" applyBorder="1" applyAlignment="1" applyProtection="1">
      <alignment horizontal="right" vertical="center" wrapText="1"/>
      <protection locked="0"/>
    </xf>
    <xf numFmtId="0" fontId="13" fillId="6" borderId="0" xfId="1" applyFont="1" applyFill="1" applyBorder="1" applyAlignment="1" applyProtection="1">
      <alignment horizontal="left"/>
    </xf>
    <xf numFmtId="0" fontId="13" fillId="4" borderId="0" xfId="0" applyFont="1" applyFill="1" applyBorder="1" applyAlignment="1" applyProtection="1">
      <alignment horizontal="center"/>
    </xf>
    <xf numFmtId="0" fontId="6" fillId="4" borderId="0" xfId="0" applyFont="1" applyFill="1" applyBorder="1" applyAlignment="1" applyProtection="1">
      <alignment vertical="top" wrapText="1"/>
    </xf>
    <xf numFmtId="0" fontId="6" fillId="4" borderId="0" xfId="0" applyFont="1" applyFill="1" applyBorder="1" applyAlignment="1" applyProtection="1">
      <alignment vertical="top"/>
    </xf>
    <xf numFmtId="0" fontId="7" fillId="5" borderId="0"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10" fillId="5" borderId="0" xfId="0" applyFont="1" applyFill="1" applyBorder="1" applyAlignment="1" applyProtection="1">
      <alignment horizontal="center" vertical="center"/>
    </xf>
    <xf numFmtId="0" fontId="11" fillId="4" borderId="0" xfId="0" applyFont="1" applyFill="1" applyBorder="1" applyAlignment="1" applyProtection="1">
      <alignment horizontal="justify" vertical="center" wrapText="1"/>
    </xf>
    <xf numFmtId="0" fontId="51" fillId="4" borderId="0" xfId="0" applyFont="1" applyFill="1" applyBorder="1" applyAlignment="1" applyProtection="1">
      <alignment horizontal="center" vertical="center"/>
      <protection locked="0"/>
    </xf>
    <xf numFmtId="0" fontId="10" fillId="7" borderId="2" xfId="0" applyFont="1" applyFill="1" applyBorder="1" applyAlignment="1" applyProtection="1">
      <alignment horizontal="left" vertical="center"/>
    </xf>
    <xf numFmtId="0" fontId="10" fillId="7" borderId="0" xfId="0" applyFont="1" applyFill="1" applyBorder="1" applyAlignment="1" applyProtection="1">
      <alignment horizontal="left" vertical="center"/>
    </xf>
    <xf numFmtId="0" fontId="25" fillId="4" borderId="0" xfId="0" applyFont="1" applyFill="1" applyBorder="1" applyAlignment="1" applyProtection="1">
      <alignment horizontal="left" vertical="center" wrapText="1"/>
    </xf>
    <xf numFmtId="0" fontId="21" fillId="9" borderId="6" xfId="0" applyFont="1" applyFill="1" applyBorder="1" applyAlignment="1" applyProtection="1">
      <alignment horizontal="center" vertical="center" wrapText="1"/>
    </xf>
    <xf numFmtId="0" fontId="21" fillId="9" borderId="3" xfId="0" applyFont="1" applyFill="1" applyBorder="1" applyAlignment="1" applyProtection="1">
      <alignment horizontal="center" vertical="center" wrapText="1"/>
    </xf>
    <xf numFmtId="0" fontId="138" fillId="43" borderId="6" xfId="0" applyFont="1" applyFill="1" applyBorder="1" applyAlignment="1" applyProtection="1">
      <alignment horizontal="center" vertical="center" wrapText="1"/>
    </xf>
    <xf numFmtId="0" fontId="138" fillId="43" borderId="3" xfId="0" applyFont="1" applyFill="1" applyBorder="1" applyAlignment="1" applyProtection="1">
      <alignment horizontal="center" vertical="center" wrapText="1"/>
    </xf>
    <xf numFmtId="0" fontId="51" fillId="4" borderId="46" xfId="0" applyFont="1" applyFill="1" applyBorder="1" applyAlignment="1" applyProtection="1">
      <alignment horizontal="center" vertical="center"/>
      <protection locked="0"/>
    </xf>
    <xf numFmtId="0" fontId="21" fillId="9" borderId="1" xfId="0" applyFont="1" applyFill="1" applyBorder="1" applyAlignment="1" applyProtection="1">
      <alignment horizontal="center" vertical="center" wrapText="1"/>
    </xf>
    <xf numFmtId="0" fontId="21" fillId="2" borderId="1"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xf>
    <xf numFmtId="0" fontId="6" fillId="35" borderId="1" xfId="0" applyFont="1" applyFill="1" applyBorder="1" applyAlignment="1" applyProtection="1">
      <alignment horizontal="center"/>
      <protection locked="0"/>
    </xf>
    <xf numFmtId="0" fontId="21" fillId="9" borderId="7" xfId="0" applyFont="1" applyFill="1" applyBorder="1" applyAlignment="1" applyProtection="1">
      <alignment horizontal="center" vertical="center" wrapText="1"/>
    </xf>
    <xf numFmtId="0" fontId="21" fillId="9" borderId="43" xfId="0" applyFont="1" applyFill="1" applyBorder="1" applyAlignment="1" applyProtection="1">
      <alignment horizontal="center" vertical="center" wrapText="1"/>
    </xf>
    <xf numFmtId="0" fontId="21" fillId="9" borderId="4" xfId="0" applyFont="1" applyFill="1" applyBorder="1" applyAlignment="1" applyProtection="1">
      <alignment horizontal="center" vertical="center" wrapText="1"/>
    </xf>
    <xf numFmtId="0" fontId="6" fillId="35" borderId="4" xfId="0" applyFont="1" applyFill="1" applyBorder="1" applyAlignment="1" applyProtection="1">
      <alignment horizontal="left" vertical="center"/>
      <protection locked="0"/>
    </xf>
    <xf numFmtId="0" fontId="25" fillId="4" borderId="0" xfId="0" applyFont="1" applyFill="1" applyBorder="1" applyAlignment="1" applyProtection="1">
      <alignment vertical="center" wrapText="1"/>
    </xf>
    <xf numFmtId="49" fontId="28" fillId="11" borderId="6" xfId="0" applyNumberFormat="1" applyFont="1" applyFill="1" applyBorder="1" applyAlignment="1" applyProtection="1">
      <alignment horizontal="left" vertical="center" wrapText="1"/>
      <protection locked="0"/>
    </xf>
    <xf numFmtId="49" fontId="28" fillId="11" borderId="3" xfId="0" applyNumberFormat="1" applyFont="1" applyFill="1" applyBorder="1" applyAlignment="1" applyProtection="1">
      <alignment horizontal="left" vertical="center" wrapText="1"/>
      <protection locked="0"/>
    </xf>
    <xf numFmtId="0" fontId="19" fillId="2" borderId="43" xfId="0" applyFont="1" applyFill="1" applyBorder="1" applyAlignment="1" applyProtection="1">
      <alignment horizontal="center" vertical="center" wrapText="1"/>
    </xf>
    <xf numFmtId="0" fontId="19" fillId="2" borderId="42"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19" fillId="2" borderId="44" xfId="0" applyFont="1" applyFill="1" applyBorder="1" applyAlignment="1" applyProtection="1">
      <alignment horizontal="center" vertical="center" wrapText="1"/>
    </xf>
    <xf numFmtId="0" fontId="19" fillId="2" borderId="45" xfId="0" applyFont="1" applyFill="1" applyBorder="1" applyAlignment="1" applyProtection="1">
      <alignment horizontal="center" vertical="center" wrapText="1"/>
    </xf>
    <xf numFmtId="0" fontId="19" fillId="2" borderId="10" xfId="0" applyFont="1" applyFill="1" applyBorder="1" applyAlignment="1" applyProtection="1">
      <alignment horizontal="center" vertical="center" wrapText="1"/>
    </xf>
    <xf numFmtId="0" fontId="19" fillId="2" borderId="9"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7" xfId="0" applyFont="1" applyFill="1" applyBorder="1" applyAlignment="1" applyProtection="1">
      <alignment horizontal="center" vertical="center" wrapText="1"/>
    </xf>
    <xf numFmtId="0" fontId="21" fillId="2" borderId="3" xfId="0" applyFont="1" applyFill="1" applyBorder="1" applyAlignment="1" applyProtection="1">
      <alignment horizontal="center" vertical="center" wrapText="1"/>
    </xf>
    <xf numFmtId="0" fontId="54" fillId="4" borderId="6" xfId="0" applyFont="1" applyFill="1" applyBorder="1" applyAlignment="1" applyProtection="1">
      <alignment horizontal="center"/>
    </xf>
    <xf numFmtId="0" fontId="54" fillId="4" borderId="3" xfId="0" applyFont="1" applyFill="1" applyBorder="1" applyAlignment="1" applyProtection="1">
      <alignment horizontal="center"/>
    </xf>
    <xf numFmtId="0" fontId="30" fillId="7" borderId="0" xfId="0" applyFont="1" applyFill="1" applyBorder="1" applyAlignment="1" applyProtection="1">
      <alignment horizontal="left"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52" fillId="4" borderId="0" xfId="0" applyFont="1" applyFill="1" applyBorder="1" applyAlignment="1" applyProtection="1">
      <alignment horizontal="left" vertical="top" wrapText="1" indent="15"/>
    </xf>
    <xf numFmtId="0" fontId="49" fillId="2" borderId="43" xfId="0" applyFont="1" applyFill="1" applyBorder="1" applyAlignment="1" applyProtection="1">
      <alignment horizontal="center" vertical="center" wrapText="1"/>
    </xf>
    <xf numFmtId="0" fontId="49" fillId="2" borderId="42" xfId="0" applyFont="1" applyFill="1" applyBorder="1" applyAlignment="1" applyProtection="1">
      <alignment horizontal="center" vertical="center" wrapText="1"/>
    </xf>
    <xf numFmtId="0" fontId="49" fillId="2" borderId="4" xfId="0" applyFont="1" applyFill="1" applyBorder="1" applyAlignment="1" applyProtection="1">
      <alignment horizontal="center" vertical="center" wrapText="1"/>
    </xf>
    <xf numFmtId="0" fontId="11" fillId="4" borderId="0" xfId="0" applyFont="1" applyFill="1" applyBorder="1" applyAlignment="1" applyProtection="1">
      <alignment horizontal="left" vertical="center"/>
    </xf>
    <xf numFmtId="0" fontId="11" fillId="4" borderId="0" xfId="0" applyFont="1" applyFill="1" applyBorder="1" applyAlignment="1" applyProtection="1">
      <alignment horizontal="left" vertical="center" wrapText="1"/>
    </xf>
    <xf numFmtId="0" fontId="28" fillId="4" borderId="0" xfId="0" applyFont="1" applyFill="1" applyBorder="1" applyAlignment="1" applyProtection="1">
      <alignment horizontal="left" vertical="top" wrapText="1"/>
    </xf>
    <xf numFmtId="0" fontId="19" fillId="2" borderId="1" xfId="0" applyFont="1" applyFill="1" applyBorder="1" applyAlignment="1" applyProtection="1">
      <alignment horizontal="center" vertical="center" wrapText="1"/>
    </xf>
    <xf numFmtId="0" fontId="61" fillId="4" borderId="12" xfId="0" applyFont="1" applyFill="1" applyBorder="1" applyAlignment="1" applyProtection="1">
      <alignment horizontal="left" vertical="center" wrapText="1"/>
    </xf>
    <xf numFmtId="0" fontId="43" fillId="4" borderId="0" xfId="0" applyFont="1" applyFill="1" applyBorder="1" applyAlignment="1" applyProtection="1">
      <alignment horizontal="left" vertical="center" wrapText="1"/>
    </xf>
    <xf numFmtId="0" fontId="25" fillId="4" borderId="0" xfId="0" applyFont="1" applyFill="1" applyBorder="1" applyAlignment="1" applyProtection="1">
      <alignment horizontal="left" wrapText="1"/>
    </xf>
    <xf numFmtId="0" fontId="10" fillId="2" borderId="1" xfId="0" applyFont="1" applyFill="1" applyBorder="1" applyAlignment="1" applyProtection="1">
      <alignment horizontal="center" vertical="center"/>
    </xf>
    <xf numFmtId="0" fontId="19" fillId="2" borderId="1" xfId="0" applyFont="1" applyFill="1" applyBorder="1" applyAlignment="1" applyProtection="1">
      <alignment horizontal="center" vertical="center"/>
    </xf>
    <xf numFmtId="0" fontId="19" fillId="2" borderId="1" xfId="0" applyFont="1" applyFill="1" applyBorder="1" applyAlignment="1" applyProtection="1">
      <alignment vertical="center" wrapText="1"/>
    </xf>
    <xf numFmtId="0" fontId="10" fillId="2" borderId="6" xfId="0" applyFont="1" applyFill="1" applyBorder="1" applyAlignment="1" applyProtection="1">
      <alignment horizontal="center" vertical="center" wrapText="1"/>
    </xf>
    <xf numFmtId="0" fontId="10" fillId="2" borderId="7" xfId="0" applyFont="1" applyFill="1" applyBorder="1" applyAlignment="1" applyProtection="1">
      <alignment horizontal="center" vertical="center" wrapText="1"/>
    </xf>
    <xf numFmtId="0" fontId="10" fillId="2" borderId="3" xfId="0" applyFont="1" applyFill="1" applyBorder="1" applyAlignment="1" applyProtection="1">
      <alignment horizontal="center" vertical="center" wrapText="1"/>
    </xf>
    <xf numFmtId="0" fontId="25" fillId="37" borderId="0" xfId="0" applyFont="1" applyFill="1" applyBorder="1" applyAlignment="1" applyProtection="1">
      <alignment horizontal="left" vertical="top" wrapText="1"/>
    </xf>
    <xf numFmtId="0" fontId="66" fillId="4" borderId="0" xfId="0" applyFont="1" applyFill="1" applyBorder="1" applyAlignment="1" applyProtection="1">
      <alignment horizontal="left" vertical="center" wrapText="1"/>
    </xf>
    <xf numFmtId="0" fontId="76" fillId="4" borderId="0" xfId="0" applyFont="1" applyFill="1" applyBorder="1" applyAlignment="1" applyProtection="1">
      <alignment horizontal="center" vertical="center" wrapText="1"/>
    </xf>
    <xf numFmtId="0" fontId="68" fillId="4" borderId="0" xfId="0" applyFont="1" applyFill="1" applyBorder="1" applyAlignment="1" applyProtection="1">
      <alignment horizontal="left" vertical="center" wrapText="1"/>
    </xf>
    <xf numFmtId="0" fontId="10" fillId="2" borderId="1" xfId="0" applyFont="1" applyFill="1" applyBorder="1" applyAlignment="1" applyProtection="1">
      <alignment horizontal="center" vertical="center" wrapText="1"/>
    </xf>
    <xf numFmtId="0" fontId="25" fillId="4" borderId="0" xfId="0" applyFont="1" applyFill="1" applyBorder="1" applyAlignment="1" applyProtection="1">
      <alignment horizontal="left" vertical="top" wrapText="1"/>
    </xf>
    <xf numFmtId="0" fontId="19" fillId="2" borderId="6" xfId="0" applyFont="1" applyFill="1" applyBorder="1" applyAlignment="1" applyProtection="1">
      <alignment horizontal="center" vertical="center"/>
    </xf>
    <xf numFmtId="0" fontId="19" fillId="2" borderId="7" xfId="0" applyFont="1" applyFill="1" applyBorder="1" applyAlignment="1" applyProtection="1">
      <alignment horizontal="center" vertical="center"/>
    </xf>
    <xf numFmtId="0" fontId="19" fillId="2" borderId="3"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30" fillId="2" borderId="6" xfId="0" applyFont="1" applyFill="1" applyBorder="1" applyAlignment="1" applyProtection="1">
      <alignment horizontal="center" vertical="center"/>
    </xf>
    <xf numFmtId="0" fontId="30" fillId="2" borderId="7" xfId="0" applyFont="1" applyFill="1" applyBorder="1" applyAlignment="1" applyProtection="1">
      <alignment horizontal="center" vertical="center"/>
    </xf>
    <xf numFmtId="0" fontId="30" fillId="2" borderId="3" xfId="0" applyFont="1" applyFill="1" applyBorder="1" applyAlignment="1" applyProtection="1">
      <alignment horizontal="center" vertical="center"/>
    </xf>
    <xf numFmtId="4" fontId="19" fillId="4" borderId="0" xfId="0" applyNumberFormat="1"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xf>
    <xf numFmtId="0" fontId="19" fillId="4" borderId="0" xfId="0" applyFont="1" applyFill="1" applyBorder="1" applyAlignment="1" applyProtection="1">
      <alignment horizontal="left" vertical="center" wrapText="1"/>
    </xf>
    <xf numFmtId="0" fontId="19" fillId="4" borderId="0" xfId="0" applyFont="1" applyFill="1" applyBorder="1" applyAlignment="1" applyProtection="1">
      <alignment horizontal="center" vertical="center"/>
    </xf>
    <xf numFmtId="0" fontId="19" fillId="4" borderId="0" xfId="0" applyFont="1" applyFill="1" applyBorder="1" applyAlignment="1" applyProtection="1">
      <alignment horizontal="center" vertical="center" wrapText="1"/>
    </xf>
    <xf numFmtId="0" fontId="91" fillId="4" borderId="0" xfId="0" applyFont="1" applyFill="1" applyBorder="1" applyAlignment="1" applyProtection="1">
      <alignment horizontal="left" vertical="top" wrapText="1" indent="1"/>
    </xf>
    <xf numFmtId="0" fontId="19" fillId="2" borderId="18" xfId="0" applyFont="1" applyFill="1" applyBorder="1" applyAlignment="1" applyProtection="1">
      <alignment horizontal="center" vertical="center" wrapText="1"/>
    </xf>
    <xf numFmtId="0" fontId="100" fillId="4" borderId="0" xfId="0" applyFont="1" applyFill="1" applyBorder="1" applyAlignment="1" applyProtection="1">
      <alignment horizontal="right" vertical="center" wrapText="1"/>
    </xf>
    <xf numFmtId="169" fontId="100" fillId="4" borderId="0" xfId="0" applyNumberFormat="1" applyFont="1" applyFill="1" applyBorder="1" applyAlignment="1" applyProtection="1">
      <alignment horizontal="right" vertical="center" wrapText="1"/>
    </xf>
    <xf numFmtId="0" fontId="71" fillId="11" borderId="1" xfId="0" applyFont="1" applyFill="1" applyBorder="1" applyAlignment="1" applyProtection="1">
      <alignment horizontal="left" vertical="center" wrapText="1"/>
    </xf>
    <xf numFmtId="4" fontId="22" fillId="4" borderId="6" xfId="0" applyNumberFormat="1" applyFont="1" applyFill="1" applyBorder="1" applyAlignment="1" applyProtection="1">
      <alignment horizontal="right" vertical="center" wrapText="1"/>
    </xf>
    <xf numFmtId="165" fontId="22" fillId="4" borderId="3" xfId="0" applyNumberFormat="1" applyFont="1" applyFill="1" applyBorder="1" applyAlignment="1" applyProtection="1">
      <alignment horizontal="left" vertical="center" wrapText="1"/>
    </xf>
    <xf numFmtId="165" fontId="71" fillId="4" borderId="3" xfId="0" applyNumberFormat="1" applyFont="1" applyFill="1" applyBorder="1" applyAlignment="1" applyProtection="1">
      <alignment horizontal="left" vertical="center" wrapText="1"/>
    </xf>
    <xf numFmtId="0" fontId="22" fillId="11" borderId="1" xfId="0" applyFont="1" applyFill="1" applyBorder="1" applyAlignment="1" applyProtection="1">
      <alignment horizontal="right" vertical="center" wrapText="1"/>
    </xf>
    <xf numFmtId="4" fontId="22" fillId="11" borderId="6" xfId="0" applyNumberFormat="1" applyFont="1" applyFill="1" applyBorder="1" applyAlignment="1" applyProtection="1">
      <alignment horizontal="right" vertical="center" wrapText="1"/>
    </xf>
    <xf numFmtId="165" fontId="22" fillId="11" borderId="3" xfId="0" applyNumberFormat="1" applyFont="1" applyFill="1" applyBorder="1" applyAlignment="1" applyProtection="1">
      <alignment horizontal="left" vertical="center" wrapText="1"/>
    </xf>
    <xf numFmtId="0" fontId="21" fillId="2" borderId="1" xfId="0" applyFont="1" applyFill="1" applyBorder="1" applyAlignment="1" applyProtection="1">
      <alignment horizontal="left" vertical="center" wrapText="1"/>
    </xf>
    <xf numFmtId="4" fontId="21" fillId="10" borderId="6" xfId="0" applyNumberFormat="1" applyFont="1" applyFill="1" applyBorder="1" applyAlignment="1" applyProtection="1">
      <alignment horizontal="right" vertical="center" wrapText="1"/>
    </xf>
    <xf numFmtId="165" fontId="21" fillId="10" borderId="3" xfId="0" applyNumberFormat="1" applyFont="1" applyFill="1" applyBorder="1" applyAlignment="1" applyProtection="1">
      <alignment horizontal="left" vertical="center" wrapText="1"/>
    </xf>
    <xf numFmtId="0" fontId="87" fillId="4" borderId="0" xfId="0" applyFont="1" applyFill="1" applyBorder="1" applyAlignment="1" applyProtection="1">
      <alignment horizontal="left" vertical="center" wrapText="1"/>
    </xf>
    <xf numFmtId="0" fontId="22" fillId="11" borderId="1" xfId="0" applyFont="1" applyFill="1" applyBorder="1" applyAlignment="1" applyProtection="1">
      <alignment horizontal="center" vertical="center" wrapText="1"/>
    </xf>
    <xf numFmtId="4" fontId="71" fillId="4" borderId="6" xfId="0" applyNumberFormat="1" applyFont="1" applyFill="1" applyBorder="1" applyAlignment="1" applyProtection="1">
      <alignment horizontal="right" vertical="center" wrapText="1"/>
    </xf>
    <xf numFmtId="0" fontId="23" fillId="4" borderId="0" xfId="1" applyFont="1" applyFill="1" applyBorder="1" applyAlignment="1" applyProtection="1">
      <alignment horizontal="left" vertical="center"/>
    </xf>
    <xf numFmtId="0" fontId="81" fillId="4" borderId="0" xfId="0" applyFont="1" applyFill="1" applyBorder="1" applyAlignment="1" applyProtection="1">
      <alignment horizontal="left" vertical="center" wrapText="1"/>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right" vertical="center"/>
    </xf>
    <xf numFmtId="0" fontId="22" fillId="4" borderId="13" xfId="0" applyFont="1" applyFill="1" applyBorder="1" applyAlignment="1" applyProtection="1">
      <alignment horizontal="center" vertical="center" wrapText="1"/>
    </xf>
    <xf numFmtId="0" fontId="10" fillId="4" borderId="0" xfId="0" applyFont="1" applyFill="1" applyBorder="1" applyAlignment="1" applyProtection="1">
      <alignment horizontal="right" vertical="center" wrapText="1"/>
    </xf>
    <xf numFmtId="169" fontId="10" fillId="4" borderId="0" xfId="0" applyNumberFormat="1" applyFont="1" applyFill="1" applyBorder="1" applyAlignment="1" applyProtection="1">
      <alignment horizontal="right" vertical="center" wrapText="1"/>
    </xf>
    <xf numFmtId="165" fontId="29" fillId="4" borderId="3" xfId="0" applyNumberFormat="1" applyFont="1" applyFill="1" applyBorder="1" applyAlignment="1" applyProtection="1">
      <alignment horizontal="left" vertical="center" wrapText="1"/>
    </xf>
    <xf numFmtId="165" fontId="29" fillId="4" borderId="13" xfId="0" applyNumberFormat="1" applyFont="1" applyFill="1" applyBorder="1" applyAlignment="1" applyProtection="1">
      <alignment horizontal="left" vertical="center" wrapText="1"/>
    </xf>
    <xf numFmtId="165" fontId="29" fillId="11" borderId="3" xfId="0" applyNumberFormat="1" applyFont="1" applyFill="1" applyBorder="1" applyAlignment="1" applyProtection="1">
      <alignment horizontal="left" vertical="center" wrapText="1"/>
    </xf>
    <xf numFmtId="0" fontId="106" fillId="4" borderId="0" xfId="0" applyFont="1" applyFill="1" applyBorder="1" applyAlignment="1" applyProtection="1">
      <alignment horizontal="left" vertical="center" wrapText="1"/>
    </xf>
    <xf numFmtId="165" fontId="51" fillId="4" borderId="3" xfId="0" applyNumberFormat="1" applyFont="1" applyFill="1" applyBorder="1" applyAlignment="1" applyProtection="1">
      <alignment horizontal="left" vertical="center" wrapText="1"/>
    </xf>
    <xf numFmtId="0" fontId="22" fillId="4" borderId="24" xfId="0" applyFont="1" applyFill="1" applyBorder="1" applyAlignment="1" applyProtection="1">
      <alignment horizontal="center" vertical="center" wrapText="1"/>
    </xf>
    <xf numFmtId="0" fontId="113" fillId="8" borderId="27" xfId="0" applyFont="1" applyFill="1" applyBorder="1" applyAlignment="1">
      <alignment horizontal="center" vertical="center"/>
    </xf>
    <xf numFmtId="0" fontId="113" fillId="28" borderId="27" xfId="0" applyFont="1" applyFill="1" applyBorder="1" applyAlignment="1">
      <alignment horizontal="center" vertical="center"/>
    </xf>
    <xf numFmtId="0" fontId="113" fillId="29" borderId="27" xfId="0" applyFont="1" applyFill="1" applyBorder="1" applyAlignment="1">
      <alignment horizontal="center" vertical="center"/>
    </xf>
    <xf numFmtId="0" fontId="113" fillId="4" borderId="27" xfId="0" applyFont="1" applyFill="1" applyBorder="1" applyAlignment="1">
      <alignment horizontal="center" vertical="center" wrapText="1"/>
    </xf>
    <xf numFmtId="0" fontId="113" fillId="4" borderId="27" xfId="0" applyFont="1" applyFill="1" applyBorder="1" applyAlignment="1">
      <alignment horizontal="center" vertical="center"/>
    </xf>
    <xf numFmtId="0" fontId="0" fillId="0" borderId="27" xfId="0" applyBorder="1" applyAlignment="1">
      <alignment horizontal="center" wrapText="1"/>
    </xf>
    <xf numFmtId="0" fontId="0" fillId="0" borderId="27" xfId="0" applyBorder="1" applyAlignment="1">
      <alignment horizontal="center"/>
    </xf>
    <xf numFmtId="0" fontId="19" fillId="10" borderId="11" xfId="0" applyFont="1" applyFill="1" applyBorder="1" applyAlignment="1">
      <alignment horizontal="center" vertical="center"/>
    </xf>
    <xf numFmtId="0" fontId="19" fillId="10" borderId="36" xfId="0" applyFont="1" applyFill="1" applyBorder="1" applyAlignment="1">
      <alignment horizontal="center" vertical="center" wrapText="1"/>
    </xf>
  </cellXfs>
  <cellStyles count="13">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3" xfId="10"/>
    <cellStyle name="Normal 2 4" xfId="11"/>
    <cellStyle name="Normal 4" xfId="12"/>
  </cellStyles>
  <dxfs count="48">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FF"/>
        <name val="Calibri"/>
      </font>
    </dxf>
    <dxf>
      <font>
        <sz val="11"/>
        <color rgb="FF000000"/>
        <name val="Calibri"/>
      </font>
      <fill>
        <patternFill>
          <bgColor rgb="FFFFFFFF"/>
        </patternFill>
      </fill>
    </dxf>
    <dxf>
      <font>
        <sz val="11"/>
        <color rgb="FF000000"/>
        <name val="Calibri"/>
      </font>
      <fill>
        <patternFill>
          <bgColor rgb="FFFFFFFF"/>
        </patternFill>
      </fill>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solid">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DEDCE6"/>
      <color rgb="FFC2829E"/>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Huella de carbono según alcances 
(t CO2 eq)</a:t>
            </a:r>
          </a:p>
        </c:rich>
      </c:tx>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rgbClr val="C0504D"/>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Dades!$AM$653:$AN$653</c:f>
              <c:strCache>
                <c:ptCount val="2"/>
                <c:pt idx="0">
                  <c:v>Alcance 1</c:v>
                </c:pt>
                <c:pt idx="1">
                  <c:v>Alcance 2</c:v>
                </c:pt>
              </c:strCache>
            </c:strRef>
          </c:cat>
          <c:val>
            <c:numRef>
              <c:f>Dades!$AM$654:$AN$654</c:f>
              <c:numCache>
                <c:formatCode>#,##0.00</c:formatCode>
                <c:ptCount val="2"/>
                <c:pt idx="0">
                  <c:v>0</c:v>
                </c:pt>
                <c:pt idx="1">
                  <c:v>0</c:v>
                </c:pt>
              </c:numCache>
            </c:numRef>
          </c:val>
        </c:ser>
        <c:dLbls>
          <c:showLegendKey val="0"/>
          <c:showVal val="0"/>
          <c:showCatName val="0"/>
          <c:showSerName val="0"/>
          <c:showPercent val="0"/>
          <c:showBubbleSize val="0"/>
        </c:dLbls>
        <c:gapWidth val="150"/>
        <c:axId val="-1048689504"/>
        <c:axId val="-1048675904"/>
      </c:barChart>
      <c:catAx>
        <c:axId val="-1048689504"/>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048675904"/>
        <c:crosses val="autoZero"/>
        <c:auto val="1"/>
        <c:lblAlgn val="ctr"/>
        <c:lblOffset val="100"/>
        <c:noMultiLvlLbl val="1"/>
      </c:catAx>
      <c:valAx>
        <c:axId val="-104867590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04868950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Evolución del ratio escogido
(t CO2eq/ud)</a:t>
            </a:r>
          </a:p>
        </c:rich>
      </c:tx>
      <c:layout>
        <c:manualLayout>
          <c:xMode val="edge"/>
          <c:yMode val="edge"/>
          <c:x val="0.3452885198665453"/>
          <c:y val="3.5483879980665475E-2"/>
        </c:manualLayout>
      </c:layout>
      <c:overlay val="0"/>
      <c:spPr>
        <a:noFill/>
        <a:ln w="25560">
          <a:noFill/>
        </a:ln>
      </c:spPr>
    </c:title>
    <c:autoTitleDeleted val="0"/>
    <c:plotArea>
      <c:layout/>
      <c:barChart>
        <c:barDir val="col"/>
        <c:grouping val="clustered"/>
        <c:varyColors val="0"/>
        <c:ser>
          <c:idx val="0"/>
          <c:order val="0"/>
          <c:tx>
            <c:strRef>
              <c:f>Dades!$AL$663</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Dades!$AM$661:$AP$661</c:f>
              <c:strCache>
                <c:ptCount val="4"/>
                <c:pt idx="3">
                  <c:v>2020</c:v>
                </c:pt>
              </c:strCache>
            </c:strRef>
          </c:cat>
          <c:val>
            <c:numRef>
              <c:f>Dades!$AM$663:$AP$663</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048666112"/>
        <c:axId val="-1048674816"/>
      </c:barChart>
      <c:catAx>
        <c:axId val="-104866611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048674816"/>
        <c:crosses val="autoZero"/>
        <c:auto val="1"/>
        <c:lblAlgn val="ctr"/>
        <c:lblOffset val="100"/>
        <c:noMultiLvlLbl val="1"/>
      </c:catAx>
      <c:valAx>
        <c:axId val="-1048674816"/>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048666112"/>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 actividades emisoras  Alcance 1 </a:t>
            </a:r>
          </a:p>
        </c:rich>
      </c:tx>
      <c:overlay val="0"/>
      <c:spPr>
        <a:noFill/>
        <a:ln w="25560">
          <a:noFill/>
        </a:ln>
      </c:spPr>
    </c:title>
    <c:autoTitleDeleted val="0"/>
    <c:plotArea>
      <c:layout>
        <c:manualLayout>
          <c:layoutTarget val="inner"/>
          <c:xMode val="edge"/>
          <c:yMode val="edge"/>
          <c:x val="0.20872576177285301"/>
          <c:y val="0.30332225913621302"/>
          <c:w val="0.72541551246537395"/>
          <c:h val="0.61760797342192697"/>
        </c:manualLayout>
      </c:layout>
      <c:barChart>
        <c:barDir val="bar"/>
        <c:grouping val="clustered"/>
        <c:varyColors val="0"/>
        <c:ser>
          <c:idx val="0"/>
          <c:order val="0"/>
          <c:spPr>
            <a:solidFill>
              <a:srgbClr val="FAC090"/>
            </a:solidFill>
            <a:ln>
              <a:noFill/>
            </a:ln>
          </c:spPr>
          <c:invertIfNegative val="0"/>
          <c:dPt>
            <c:idx val="0"/>
            <c:invertIfNegative val="0"/>
            <c:bubble3D val="0"/>
            <c:spPr>
              <a:solidFill>
                <a:srgbClr val="FFCC66"/>
              </a:solidFill>
              <a:ln>
                <a:noFill/>
              </a:ln>
            </c:spPr>
          </c:dPt>
          <c:dPt>
            <c:idx val="1"/>
            <c:invertIfNegative val="0"/>
            <c:bubble3D val="0"/>
            <c:spPr>
              <a:solidFill>
                <a:srgbClr val="D99694"/>
              </a:solidFill>
              <a:ln>
                <a:noFill/>
              </a:ln>
            </c:spPr>
          </c:dPt>
          <c:dPt>
            <c:idx val="2"/>
            <c:invertIfNegative val="0"/>
            <c:bubble3D val="0"/>
            <c:spPr>
              <a:solidFill>
                <a:srgbClr val="B3A2C7"/>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Dades!$AL$657:$AO$657</c:f>
              <c:strCache>
                <c:ptCount val="4"/>
                <c:pt idx="0">
                  <c:v>Proceso</c:v>
                </c:pt>
                <c:pt idx="1">
                  <c:v>Climatización</c:v>
                </c:pt>
                <c:pt idx="2">
                  <c:v>Transporte</c:v>
                </c:pt>
                <c:pt idx="3">
                  <c:v>Instalaciones fijas</c:v>
                </c:pt>
              </c:strCache>
            </c:strRef>
          </c:cat>
          <c:val>
            <c:numRef>
              <c:f>Dades!$AL$658:$AO$658</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00"/>
        <c:axId val="-1048691680"/>
        <c:axId val="-1048672640"/>
      </c:barChart>
      <c:catAx>
        <c:axId val="-1048691680"/>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048672640"/>
        <c:crosses val="autoZero"/>
        <c:auto val="1"/>
        <c:lblAlgn val="ctr"/>
        <c:lblOffset val="100"/>
        <c:noMultiLvlLbl val="1"/>
      </c:catAx>
      <c:valAx>
        <c:axId val="-1048672640"/>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04869168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Huella de carbono según alcances 
(t CO2 eq)</a:t>
            </a:r>
          </a:p>
        </c:rich>
      </c:tx>
      <c:layout/>
      <c:overlay val="0"/>
      <c:spPr>
        <a:noFill/>
        <a:ln w="25560">
          <a:noFill/>
        </a:ln>
      </c:spPr>
    </c:title>
    <c:autoTitleDeleted val="0"/>
    <c:plotArea>
      <c:layout>
        <c:manualLayout>
          <c:layoutTarget val="inner"/>
          <c:xMode val="edge"/>
          <c:yMode val="edge"/>
          <c:x val="0.133013273086699"/>
          <c:y val="0.39627089584226299"/>
          <c:w val="0.82029558505130395"/>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rgbClr val="C0504D"/>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Dades!$D$536:$E$536</c:f>
              <c:strCache>
                <c:ptCount val="2"/>
                <c:pt idx="0">
                  <c:v>Alcance 1</c:v>
                </c:pt>
                <c:pt idx="1">
                  <c:v>Alcance 2</c:v>
                </c:pt>
              </c:strCache>
            </c:strRef>
          </c:cat>
          <c:val>
            <c:numRef>
              <c:f>Dades!$D$537:$E$537</c:f>
              <c:numCache>
                <c:formatCode>#,##0.00</c:formatCode>
                <c:ptCount val="2"/>
                <c:pt idx="0">
                  <c:v>0</c:v>
                </c:pt>
                <c:pt idx="1">
                  <c:v>0</c:v>
                </c:pt>
              </c:numCache>
            </c:numRef>
          </c:val>
        </c:ser>
        <c:dLbls>
          <c:showLegendKey val="0"/>
          <c:showVal val="0"/>
          <c:showCatName val="0"/>
          <c:showSerName val="0"/>
          <c:showPercent val="0"/>
          <c:showBubbleSize val="0"/>
        </c:dLbls>
        <c:gapWidth val="150"/>
        <c:axId val="-1048672096"/>
        <c:axId val="-1048686784"/>
      </c:barChart>
      <c:catAx>
        <c:axId val="-1048672096"/>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048686784"/>
        <c:crosses val="autoZero"/>
        <c:auto val="1"/>
        <c:lblAlgn val="ctr"/>
        <c:lblOffset val="100"/>
        <c:noMultiLvlLbl val="1"/>
      </c:catAx>
      <c:valAx>
        <c:axId val="-104868678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048672096"/>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Evolución del ratio escogido
(t CO2eq/ud)</a:t>
            </a:r>
          </a:p>
        </c:rich>
      </c:tx>
      <c:layout/>
      <c:overlay val="0"/>
      <c:spPr>
        <a:noFill/>
        <a:ln w="25560">
          <a:noFill/>
        </a:ln>
      </c:spPr>
    </c:title>
    <c:autoTitleDeleted val="0"/>
    <c:plotArea>
      <c:layout/>
      <c:barChart>
        <c:barDir val="col"/>
        <c:grouping val="clustered"/>
        <c:varyColors val="0"/>
        <c:ser>
          <c:idx val="0"/>
          <c:order val="0"/>
          <c:tx>
            <c:strRef>
              <c:f>Dades!$C$546:$C$546</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Dades!$D$544:$G$544</c:f>
              <c:strCache>
                <c:ptCount val="4"/>
                <c:pt idx="3">
                  <c:v>2020</c:v>
                </c:pt>
              </c:strCache>
            </c:strRef>
          </c:cat>
          <c:val>
            <c:numRef>
              <c:f>Dades!$D$546:$G$546</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048691136"/>
        <c:axId val="-1048674272"/>
      </c:barChart>
      <c:catAx>
        <c:axId val="-1048691136"/>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048674272"/>
        <c:crosses val="autoZero"/>
        <c:auto val="1"/>
        <c:lblAlgn val="ctr"/>
        <c:lblOffset val="100"/>
        <c:noMultiLvlLbl val="1"/>
      </c:catAx>
      <c:valAx>
        <c:axId val="-1048674272"/>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048691136"/>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 actividades emisoras  Alcance 1 </a:t>
            </a:r>
          </a:p>
        </c:rich>
      </c:tx>
      <c:layout/>
      <c:overlay val="0"/>
      <c:spPr>
        <a:noFill/>
        <a:ln w="25560">
          <a:noFill/>
        </a:ln>
      </c:spPr>
    </c:title>
    <c:autoTitleDeleted val="0"/>
    <c:plotArea>
      <c:layout>
        <c:manualLayout>
          <c:layoutTarget val="inner"/>
          <c:xMode val="edge"/>
          <c:yMode val="edge"/>
          <c:x val="0.20870527991142501"/>
          <c:y val="0.30283400809716599"/>
          <c:w val="0.72555532489101104"/>
          <c:h val="0.61659919028340104"/>
        </c:manualLayout>
      </c:layout>
      <c:barChart>
        <c:barDir val="bar"/>
        <c:grouping val="clustered"/>
        <c:varyColors val="0"/>
        <c:ser>
          <c:idx val="0"/>
          <c:order val="0"/>
          <c:spPr>
            <a:solidFill>
              <a:srgbClr val="FAC090"/>
            </a:solidFill>
            <a:ln>
              <a:noFill/>
            </a:ln>
          </c:spPr>
          <c:invertIfNegative val="0"/>
          <c:dPt>
            <c:idx val="0"/>
            <c:invertIfNegative val="0"/>
            <c:bubble3D val="0"/>
            <c:spPr>
              <a:solidFill>
                <a:srgbClr val="FFCC66"/>
              </a:solidFill>
              <a:ln>
                <a:noFill/>
              </a:ln>
            </c:spPr>
          </c:dPt>
          <c:dPt>
            <c:idx val="1"/>
            <c:invertIfNegative val="0"/>
            <c:bubble3D val="0"/>
            <c:spPr>
              <a:solidFill>
                <a:srgbClr val="D99694"/>
              </a:solidFill>
              <a:ln>
                <a:noFill/>
              </a:ln>
            </c:spPr>
          </c:dPt>
          <c:dPt>
            <c:idx val="2"/>
            <c:invertIfNegative val="0"/>
            <c:bubble3D val="0"/>
            <c:spPr>
              <a:solidFill>
                <a:srgbClr val="B3A2C7"/>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Dades!$D$540:$G$540</c:f>
              <c:strCache>
                <c:ptCount val="4"/>
                <c:pt idx="0">
                  <c:v>Proceso</c:v>
                </c:pt>
                <c:pt idx="1">
                  <c:v>Fluorados</c:v>
                </c:pt>
                <c:pt idx="2">
                  <c:v>Transporte</c:v>
                </c:pt>
                <c:pt idx="3">
                  <c:v>Instalaciones fijas</c:v>
                </c:pt>
              </c:strCache>
            </c:strRef>
          </c:cat>
          <c:val>
            <c:numRef>
              <c:f>Dades!$D$541:$G$541</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00"/>
        <c:axId val="-1048670464"/>
        <c:axId val="-1048693312"/>
      </c:barChart>
      <c:catAx>
        <c:axId val="-104867046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048693312"/>
        <c:crosses val="autoZero"/>
        <c:auto val="1"/>
        <c:lblAlgn val="ctr"/>
        <c:lblOffset val="100"/>
        <c:noMultiLvlLbl val="1"/>
      </c:catAx>
      <c:valAx>
        <c:axId val="-1048693312"/>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04867046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3</xdr:col>
      <xdr:colOff>143640</xdr:colOff>
      <xdr:row>4</xdr:row>
      <xdr:rowOff>41760</xdr:rowOff>
    </xdr:to>
    <xdr:pic>
      <xdr:nvPicPr>
        <xdr:cNvPr id="2" name="Imatge 1"/>
        <xdr:cNvPicPr/>
      </xdr:nvPicPr>
      <xdr:blipFill>
        <a:blip xmlns:r="http://schemas.openxmlformats.org/officeDocument/2006/relationships" r:embed="rId1"/>
        <a:stretch/>
      </xdr:blipFill>
      <xdr:spPr>
        <a:xfrm>
          <a:off x="360" y="0"/>
          <a:ext cx="1583280" cy="1003680"/>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861645</xdr:colOff>
      <xdr:row>13</xdr:row>
      <xdr:rowOff>4331</xdr:rowOff>
    </xdr:from>
    <xdr:to>
      <xdr:col>19</xdr:col>
      <xdr:colOff>88322</xdr:colOff>
      <xdr:row>23</xdr:row>
      <xdr:rowOff>153855</xdr:rowOff>
    </xdr:to>
    <xdr:graphicFrame macro="">
      <xdr:nvGraphicFramePr>
        <xdr:cNvPr id="19"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714240</xdr:colOff>
      <xdr:row>36</xdr:row>
      <xdr:rowOff>360</xdr:rowOff>
    </xdr:from>
    <xdr:to>
      <xdr:col>5</xdr:col>
      <xdr:colOff>822240</xdr:colOff>
      <xdr:row>40</xdr:row>
      <xdr:rowOff>183600</xdr:rowOff>
    </xdr:to>
    <xdr:sp macro="" textlink="">
      <xdr:nvSpPr>
        <xdr:cNvPr id="20" name="CustomShape 1"/>
        <xdr:cNvSpPr/>
      </xdr:nvSpPr>
      <xdr:spPr>
        <a:xfrm>
          <a:off x="4624560" y="5891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44</xdr:row>
      <xdr:rowOff>360</xdr:rowOff>
    </xdr:from>
    <xdr:to>
      <xdr:col>5</xdr:col>
      <xdr:colOff>831960</xdr:colOff>
      <xdr:row>48</xdr:row>
      <xdr:rowOff>183600</xdr:rowOff>
    </xdr:to>
    <xdr:sp macro="" textlink="">
      <xdr:nvSpPr>
        <xdr:cNvPr id="21" name="CustomShape 1"/>
        <xdr:cNvSpPr/>
      </xdr:nvSpPr>
      <xdr:spPr>
        <a:xfrm>
          <a:off x="4634280" y="697068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52</xdr:row>
      <xdr:rowOff>0</xdr:rowOff>
    </xdr:from>
    <xdr:to>
      <xdr:col>5</xdr:col>
      <xdr:colOff>831960</xdr:colOff>
      <xdr:row>56</xdr:row>
      <xdr:rowOff>183960</xdr:rowOff>
    </xdr:to>
    <xdr:sp macro="" textlink="">
      <xdr:nvSpPr>
        <xdr:cNvPr id="22" name="CustomShape 1"/>
        <xdr:cNvSpPr/>
      </xdr:nvSpPr>
      <xdr:spPr>
        <a:xfrm>
          <a:off x="4634280" y="8049240"/>
          <a:ext cx="108000" cy="7552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11</xdr:col>
      <xdr:colOff>40225</xdr:colOff>
      <xdr:row>41</xdr:row>
      <xdr:rowOff>51955</xdr:rowOff>
    </xdr:from>
    <xdr:to>
      <xdr:col>20</xdr:col>
      <xdr:colOff>77035</xdr:colOff>
      <xdr:row>58</xdr:row>
      <xdr:rowOff>152017</xdr:rowOff>
    </xdr:to>
    <xdr:graphicFrame macro="">
      <xdr:nvGraphicFramePr>
        <xdr:cNvPr id="23"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723960</xdr:colOff>
      <xdr:row>52</xdr:row>
      <xdr:rowOff>0</xdr:rowOff>
    </xdr:from>
    <xdr:to>
      <xdr:col>5</xdr:col>
      <xdr:colOff>831960</xdr:colOff>
      <xdr:row>56</xdr:row>
      <xdr:rowOff>183960</xdr:rowOff>
    </xdr:to>
    <xdr:sp macro="" textlink="">
      <xdr:nvSpPr>
        <xdr:cNvPr id="24" name="CustomShape 1"/>
        <xdr:cNvSpPr/>
      </xdr:nvSpPr>
      <xdr:spPr>
        <a:xfrm>
          <a:off x="4634280" y="8049240"/>
          <a:ext cx="108000" cy="7552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60</xdr:row>
      <xdr:rowOff>720</xdr:rowOff>
    </xdr:from>
    <xdr:to>
      <xdr:col>5</xdr:col>
      <xdr:colOff>831960</xdr:colOff>
      <xdr:row>64</xdr:row>
      <xdr:rowOff>183240</xdr:rowOff>
    </xdr:to>
    <xdr:sp macro="" textlink="">
      <xdr:nvSpPr>
        <xdr:cNvPr id="25" name="CustomShape 1"/>
        <xdr:cNvSpPr/>
      </xdr:nvSpPr>
      <xdr:spPr>
        <a:xfrm>
          <a:off x="4634280" y="9128520"/>
          <a:ext cx="108000" cy="75420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723960</xdr:colOff>
      <xdr:row>60</xdr:row>
      <xdr:rowOff>720</xdr:rowOff>
    </xdr:from>
    <xdr:to>
      <xdr:col>5</xdr:col>
      <xdr:colOff>831960</xdr:colOff>
      <xdr:row>64</xdr:row>
      <xdr:rowOff>183240</xdr:rowOff>
    </xdr:to>
    <xdr:sp macro="" textlink="">
      <xdr:nvSpPr>
        <xdr:cNvPr id="26" name="CustomShape 1"/>
        <xdr:cNvSpPr/>
      </xdr:nvSpPr>
      <xdr:spPr>
        <a:xfrm>
          <a:off x="4634280" y="9128520"/>
          <a:ext cx="108000" cy="75420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12</xdr:col>
      <xdr:colOff>399240</xdr:colOff>
      <xdr:row>23</xdr:row>
      <xdr:rowOff>57151</xdr:rowOff>
    </xdr:from>
    <xdr:to>
      <xdr:col>20</xdr:col>
      <xdr:colOff>268431</xdr:colOff>
      <xdr:row>30</xdr:row>
      <xdr:rowOff>95336</xdr:rowOff>
    </xdr:to>
    <xdr:graphicFrame macro="">
      <xdr:nvGraphicFramePr>
        <xdr:cNvPr id="28"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360</xdr:colOff>
      <xdr:row>0</xdr:row>
      <xdr:rowOff>11160</xdr:rowOff>
    </xdr:from>
    <xdr:to>
      <xdr:col>0</xdr:col>
      <xdr:colOff>1587960</xdr:colOff>
      <xdr:row>1</xdr:row>
      <xdr:rowOff>498240</xdr:rowOff>
    </xdr:to>
    <xdr:pic>
      <xdr:nvPicPr>
        <xdr:cNvPr id="29" name="Imatge 1"/>
        <xdr:cNvPicPr/>
      </xdr:nvPicPr>
      <xdr:blipFill>
        <a:blip xmlns:r="http://schemas.openxmlformats.org/officeDocument/2006/relationships" r:embed="rId4"/>
        <a:stretch/>
      </xdr:blipFill>
      <xdr:spPr>
        <a:xfrm>
          <a:off x="360" y="11160"/>
          <a:ext cx="1587600" cy="1003680"/>
        </a:xfrm>
        <a:prstGeom prst="rect">
          <a:avLst/>
        </a:prstGeom>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49</xdr:row>
      <xdr:rowOff>142875</xdr:rowOff>
    </xdr:to>
    <xdr:sp macro="" textlink="">
      <xdr:nvSpPr>
        <xdr:cNvPr id="112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49</xdr:row>
      <xdr:rowOff>142875</xdr:rowOff>
    </xdr:to>
    <xdr:sp macro="" textlink="">
      <xdr:nvSpPr>
        <xdr:cNvPr id="2"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49</xdr:row>
      <xdr:rowOff>142875</xdr:rowOff>
    </xdr:to>
    <xdr:sp macro="" textlink="">
      <xdr:nvSpPr>
        <xdr:cNvPr id="3"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49</xdr:row>
      <xdr:rowOff>142875</xdr:rowOff>
    </xdr:to>
    <xdr:sp macro="" textlink="">
      <xdr:nvSpPr>
        <xdr:cNvPr id="4"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360</xdr:colOff>
      <xdr:row>0</xdr:row>
      <xdr:rowOff>7920</xdr:rowOff>
    </xdr:from>
    <xdr:to>
      <xdr:col>0</xdr:col>
      <xdr:colOff>1587960</xdr:colOff>
      <xdr:row>1</xdr:row>
      <xdr:rowOff>495000</xdr:rowOff>
    </xdr:to>
    <xdr:pic>
      <xdr:nvPicPr>
        <xdr:cNvPr id="2" name="Imatge 1"/>
        <xdr:cNvPicPr/>
      </xdr:nvPicPr>
      <xdr:blipFill>
        <a:blip xmlns:r="http://schemas.openxmlformats.org/officeDocument/2006/relationships" r:embed="rId1"/>
        <a:stretch/>
      </xdr:blipFill>
      <xdr:spPr>
        <a:xfrm>
          <a:off x="360" y="7920"/>
          <a:ext cx="1587600" cy="100368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360</xdr:colOff>
      <xdr:row>0</xdr:row>
      <xdr:rowOff>3960</xdr:rowOff>
    </xdr:from>
    <xdr:to>
      <xdr:col>0</xdr:col>
      <xdr:colOff>1587960</xdr:colOff>
      <xdr:row>1</xdr:row>
      <xdr:rowOff>491040</xdr:rowOff>
    </xdr:to>
    <xdr:pic>
      <xdr:nvPicPr>
        <xdr:cNvPr id="2" name="Imatge 1"/>
        <xdr:cNvPicPr/>
      </xdr:nvPicPr>
      <xdr:blipFill>
        <a:blip xmlns:r="http://schemas.openxmlformats.org/officeDocument/2006/relationships" r:embed="rId1"/>
        <a:stretch/>
      </xdr:blipFill>
      <xdr:spPr>
        <a:xfrm>
          <a:off x="360" y="3960"/>
          <a:ext cx="1587600" cy="100368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360</xdr:colOff>
      <xdr:row>0</xdr:row>
      <xdr:rowOff>3240</xdr:rowOff>
    </xdr:from>
    <xdr:to>
      <xdr:col>0</xdr:col>
      <xdr:colOff>1587960</xdr:colOff>
      <xdr:row>2</xdr:row>
      <xdr:rowOff>9000</xdr:rowOff>
    </xdr:to>
    <xdr:pic>
      <xdr:nvPicPr>
        <xdr:cNvPr id="3" name="Imatge 1"/>
        <xdr:cNvPicPr/>
      </xdr:nvPicPr>
      <xdr:blipFill>
        <a:blip xmlns:r="http://schemas.openxmlformats.org/officeDocument/2006/relationships" r:embed="rId1"/>
        <a:stretch/>
      </xdr:blipFill>
      <xdr:spPr>
        <a:xfrm>
          <a:off x="360" y="3240"/>
          <a:ext cx="1587600" cy="100620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360</xdr:colOff>
      <xdr:row>0</xdr:row>
      <xdr:rowOff>5400</xdr:rowOff>
    </xdr:from>
    <xdr:to>
      <xdr:col>0</xdr:col>
      <xdr:colOff>1587960</xdr:colOff>
      <xdr:row>1</xdr:row>
      <xdr:rowOff>492480</xdr:rowOff>
    </xdr:to>
    <xdr:pic>
      <xdr:nvPicPr>
        <xdr:cNvPr id="4" name="Imatge 1"/>
        <xdr:cNvPicPr/>
      </xdr:nvPicPr>
      <xdr:blipFill>
        <a:blip xmlns:r="http://schemas.openxmlformats.org/officeDocument/2006/relationships" r:embed="rId1"/>
        <a:stretch/>
      </xdr:blipFill>
      <xdr:spPr>
        <a:xfrm>
          <a:off x="360" y="5400"/>
          <a:ext cx="1587600" cy="1003680"/>
        </a:xfrm>
        <a:prstGeom prst="rect">
          <a:avLst/>
        </a:prstGeom>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360</xdr:colOff>
      <xdr:row>0</xdr:row>
      <xdr:rowOff>5400</xdr:rowOff>
    </xdr:from>
    <xdr:to>
      <xdr:col>0</xdr:col>
      <xdr:colOff>1587960</xdr:colOff>
      <xdr:row>1</xdr:row>
      <xdr:rowOff>492480</xdr:rowOff>
    </xdr:to>
    <xdr:pic>
      <xdr:nvPicPr>
        <xdr:cNvPr id="5" name="Imatge 1"/>
        <xdr:cNvPicPr/>
      </xdr:nvPicPr>
      <xdr:blipFill>
        <a:blip xmlns:r="http://schemas.openxmlformats.org/officeDocument/2006/relationships" r:embed="rId1"/>
        <a:stretch/>
      </xdr:blipFill>
      <xdr:spPr>
        <a:xfrm>
          <a:off x="360" y="5400"/>
          <a:ext cx="1587600" cy="1003680"/>
        </a:xfrm>
        <a:prstGeom prst="rect">
          <a:avLst/>
        </a:prstGeom>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360</xdr:colOff>
      <xdr:row>0</xdr:row>
      <xdr:rowOff>5040</xdr:rowOff>
    </xdr:from>
    <xdr:to>
      <xdr:col>0</xdr:col>
      <xdr:colOff>1587960</xdr:colOff>
      <xdr:row>1</xdr:row>
      <xdr:rowOff>492120</xdr:rowOff>
    </xdr:to>
    <xdr:pic>
      <xdr:nvPicPr>
        <xdr:cNvPr id="6" name="Imatge 1"/>
        <xdr:cNvPicPr/>
      </xdr:nvPicPr>
      <xdr:blipFill>
        <a:blip xmlns:r="http://schemas.openxmlformats.org/officeDocument/2006/relationships" r:embed="rId1"/>
        <a:stretch/>
      </xdr:blipFill>
      <xdr:spPr>
        <a:xfrm>
          <a:off x="360" y="5040"/>
          <a:ext cx="1587600" cy="1003680"/>
        </a:xfrm>
        <a:prstGeom prst="rect">
          <a:avLst/>
        </a:prstGeom>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1587600</xdr:colOff>
      <xdr:row>1</xdr:row>
      <xdr:rowOff>495720</xdr:rowOff>
    </xdr:to>
    <xdr:pic>
      <xdr:nvPicPr>
        <xdr:cNvPr id="7" name="Imatge 1"/>
        <xdr:cNvPicPr/>
      </xdr:nvPicPr>
      <xdr:blipFill>
        <a:blip xmlns:r="http://schemas.openxmlformats.org/officeDocument/2006/relationships" r:embed="rId1"/>
        <a:stretch/>
      </xdr:blipFill>
      <xdr:spPr>
        <a:xfrm>
          <a:off x="0" y="0"/>
          <a:ext cx="1587600" cy="1002960"/>
        </a:xfrm>
        <a:prstGeom prst="rect">
          <a:avLst/>
        </a:prstGeom>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761339</xdr:colOff>
      <xdr:row>13</xdr:row>
      <xdr:rowOff>29442</xdr:rowOff>
    </xdr:from>
    <xdr:to>
      <xdr:col>19</xdr:col>
      <xdr:colOff>137679</xdr:colOff>
      <xdr:row>23</xdr:row>
      <xdr:rowOff>133351</xdr:rowOff>
    </xdr:to>
    <xdr:graphicFrame macro="">
      <xdr:nvGraphicFramePr>
        <xdr:cNvPr id="8"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715680</xdr:colOff>
      <xdr:row>36</xdr:row>
      <xdr:rowOff>1080</xdr:rowOff>
    </xdr:from>
    <xdr:to>
      <xdr:col>5</xdr:col>
      <xdr:colOff>823680</xdr:colOff>
      <xdr:row>40</xdr:row>
      <xdr:rowOff>183240</xdr:rowOff>
    </xdr:to>
    <xdr:sp macro="" textlink="">
      <xdr:nvSpPr>
        <xdr:cNvPr id="9" name="CustomShape 1"/>
        <xdr:cNvSpPr/>
      </xdr:nvSpPr>
      <xdr:spPr>
        <a:xfrm>
          <a:off x="4575600" y="609228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44</xdr:row>
      <xdr:rowOff>1080</xdr:rowOff>
    </xdr:from>
    <xdr:to>
      <xdr:col>5</xdr:col>
      <xdr:colOff>833400</xdr:colOff>
      <xdr:row>48</xdr:row>
      <xdr:rowOff>183240</xdr:rowOff>
    </xdr:to>
    <xdr:sp macro="" textlink="">
      <xdr:nvSpPr>
        <xdr:cNvPr id="10" name="CustomShape 1"/>
        <xdr:cNvSpPr/>
      </xdr:nvSpPr>
      <xdr:spPr>
        <a:xfrm>
          <a:off x="4585320" y="717120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52</xdr:row>
      <xdr:rowOff>720</xdr:rowOff>
    </xdr:from>
    <xdr:to>
      <xdr:col>5</xdr:col>
      <xdr:colOff>833400</xdr:colOff>
      <xdr:row>56</xdr:row>
      <xdr:rowOff>183600</xdr:rowOff>
    </xdr:to>
    <xdr:sp macro="" textlink="">
      <xdr:nvSpPr>
        <xdr:cNvPr id="11"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11</xdr:col>
      <xdr:colOff>102317</xdr:colOff>
      <xdr:row>41</xdr:row>
      <xdr:rowOff>17318</xdr:rowOff>
    </xdr:from>
    <xdr:to>
      <xdr:col>20</xdr:col>
      <xdr:colOff>130108</xdr:colOff>
      <xdr:row>59</xdr:row>
      <xdr:rowOff>51954</xdr:rowOff>
    </xdr:to>
    <xdr:graphicFrame macro="">
      <xdr:nvGraphicFramePr>
        <xdr:cNvPr id="12"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725400</xdr:colOff>
      <xdr:row>52</xdr:row>
      <xdr:rowOff>720</xdr:rowOff>
    </xdr:from>
    <xdr:to>
      <xdr:col>5</xdr:col>
      <xdr:colOff>833400</xdr:colOff>
      <xdr:row>56</xdr:row>
      <xdr:rowOff>183600</xdr:rowOff>
    </xdr:to>
    <xdr:sp macro="" textlink="">
      <xdr:nvSpPr>
        <xdr:cNvPr id="13"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60</xdr:row>
      <xdr:rowOff>1080</xdr:rowOff>
    </xdr:from>
    <xdr:to>
      <xdr:col>5</xdr:col>
      <xdr:colOff>833400</xdr:colOff>
      <xdr:row>64</xdr:row>
      <xdr:rowOff>183240</xdr:rowOff>
    </xdr:to>
    <xdr:sp macro="" textlink="">
      <xdr:nvSpPr>
        <xdr:cNvPr id="14"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60</xdr:row>
      <xdr:rowOff>1080</xdr:rowOff>
    </xdr:from>
    <xdr:to>
      <xdr:col>5</xdr:col>
      <xdr:colOff>833400</xdr:colOff>
      <xdr:row>64</xdr:row>
      <xdr:rowOff>183240</xdr:rowOff>
    </xdr:to>
    <xdr:sp macro="" textlink="">
      <xdr:nvSpPr>
        <xdr:cNvPr id="15"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12</xdr:col>
      <xdr:colOff>307552</xdr:colOff>
      <xdr:row>23</xdr:row>
      <xdr:rowOff>45894</xdr:rowOff>
    </xdr:from>
    <xdr:to>
      <xdr:col>20</xdr:col>
      <xdr:colOff>153205</xdr:colOff>
      <xdr:row>31</xdr:row>
      <xdr:rowOff>194059</xdr:rowOff>
    </xdr:to>
    <xdr:graphicFrame macro="">
      <xdr:nvGraphicFramePr>
        <xdr:cNvPr id="1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360</xdr:colOff>
      <xdr:row>0</xdr:row>
      <xdr:rowOff>11160</xdr:rowOff>
    </xdr:from>
    <xdr:to>
      <xdr:col>0</xdr:col>
      <xdr:colOff>1587960</xdr:colOff>
      <xdr:row>1</xdr:row>
      <xdr:rowOff>498240</xdr:rowOff>
    </xdr:to>
    <xdr:pic>
      <xdr:nvPicPr>
        <xdr:cNvPr id="18" name="Imatge 1"/>
        <xdr:cNvPicPr/>
      </xdr:nvPicPr>
      <xdr:blipFill>
        <a:blip xmlns:r="http://schemas.openxmlformats.org/officeDocument/2006/relationships" r:embed="rId4"/>
        <a:stretch/>
      </xdr:blipFill>
      <xdr:spPr>
        <a:xfrm>
          <a:off x="360" y="11160"/>
          <a:ext cx="1587600" cy="1003680"/>
        </a:xfrm>
        <a:prstGeom prst="rect">
          <a:avLst/>
        </a:prstGeom>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MK38"/>
  <sheetViews>
    <sheetView showRowColHeaders="0" tabSelected="1" zoomScale="110" zoomScaleNormal="110" workbookViewId="0">
      <selection activeCell="E1" sqref="E1:L4"/>
    </sheetView>
  </sheetViews>
  <sheetFormatPr baseColWidth="10" defaultColWidth="9.140625" defaultRowHeight="16.5" x14ac:dyDescent="0.3"/>
  <cols>
    <col min="1" max="1" width="13.5703125" style="2" customWidth="1"/>
    <col min="2" max="3" width="3.42578125" style="2" customWidth="1"/>
    <col min="4" max="4" width="3.7109375" style="2" customWidth="1"/>
    <col min="5" max="5" width="11.42578125" style="2"/>
    <col min="6" max="6" width="32.85546875" style="2" customWidth="1"/>
    <col min="7" max="7" width="36" style="2" customWidth="1"/>
    <col min="8" max="8" width="3.7109375" style="2" customWidth="1"/>
    <col min="9" max="9" width="11.42578125" style="2"/>
    <col min="10" max="11" width="13.140625" style="2" customWidth="1"/>
    <col min="12" max="12" width="6.140625" style="2" customWidth="1"/>
    <col min="13" max="13" width="19" style="2" customWidth="1"/>
    <col min="14" max="14" width="3.7109375" style="2" customWidth="1"/>
    <col min="15" max="1025" width="11.42578125" style="2"/>
  </cols>
  <sheetData>
    <row r="1" spans="1:13" ht="22.5" customHeight="1" x14ac:dyDescent="0.3">
      <c r="E1" s="433" t="s">
        <v>0</v>
      </c>
      <c r="F1" s="433"/>
      <c r="G1" s="433"/>
      <c r="H1" s="433"/>
      <c r="I1" s="433"/>
      <c r="J1" s="433"/>
      <c r="K1" s="433"/>
      <c r="L1" s="433"/>
    </row>
    <row r="2" spans="1:13" ht="16.5" customHeight="1" x14ac:dyDescent="0.3">
      <c r="E2" s="433"/>
      <c r="F2" s="433"/>
      <c r="G2" s="433"/>
      <c r="H2" s="433"/>
      <c r="I2" s="433"/>
      <c r="J2" s="433"/>
      <c r="K2" s="433"/>
      <c r="L2" s="433"/>
      <c r="M2" s="434"/>
    </row>
    <row r="3" spans="1:13" ht="16.5" customHeight="1" x14ac:dyDescent="0.3">
      <c r="E3" s="433"/>
      <c r="F3" s="433"/>
      <c r="G3" s="433"/>
      <c r="H3" s="433"/>
      <c r="I3" s="433"/>
      <c r="J3" s="433"/>
      <c r="K3" s="433"/>
      <c r="L3" s="433"/>
      <c r="M3" s="434"/>
    </row>
    <row r="4" spans="1:13" s="4" customFormat="1" ht="20.25" customHeight="1" x14ac:dyDescent="0.25">
      <c r="A4" s="3"/>
      <c r="B4" s="3"/>
      <c r="C4" s="3"/>
      <c r="D4" s="3"/>
      <c r="E4" s="433"/>
      <c r="F4" s="433"/>
      <c r="G4" s="433"/>
      <c r="H4" s="433"/>
      <c r="I4" s="433"/>
      <c r="J4" s="433"/>
      <c r="K4" s="433"/>
      <c r="L4" s="433"/>
      <c r="M4" s="3"/>
    </row>
    <row r="5" spans="1:13" s="4" customFormat="1" ht="17.25" customHeight="1" x14ac:dyDescent="0.25">
      <c r="A5" s="3"/>
      <c r="B5" s="3"/>
      <c r="C5" s="3"/>
      <c r="D5" s="3"/>
      <c r="E5" s="3"/>
      <c r="F5" s="3"/>
      <c r="G5" s="3"/>
      <c r="H5" s="3"/>
      <c r="I5" s="3"/>
      <c r="J5" s="3"/>
      <c r="K5" s="3"/>
      <c r="L5" s="3"/>
      <c r="M5" s="3"/>
    </row>
    <row r="6" spans="1:13" ht="20.100000000000001" customHeight="1" x14ac:dyDescent="0.3">
      <c r="B6" s="5"/>
      <c r="C6" s="5"/>
      <c r="D6" s="5"/>
      <c r="E6" s="435" t="s">
        <v>1</v>
      </c>
      <c r="F6" s="435"/>
      <c r="G6" s="435"/>
      <c r="H6" s="435"/>
      <c r="I6" s="435"/>
      <c r="J6" s="435"/>
      <c r="K6" s="435"/>
      <c r="L6" s="435"/>
      <c r="M6" s="6"/>
    </row>
    <row r="7" spans="1:13" s="4" customFormat="1" ht="14.25" customHeight="1" x14ac:dyDescent="0.25">
      <c r="A7" s="3"/>
      <c r="B7" s="436"/>
      <c r="C7" s="436"/>
      <c r="D7" s="436"/>
      <c r="E7" s="436"/>
      <c r="F7" s="436"/>
      <c r="G7" s="436"/>
      <c r="H7" s="436"/>
      <c r="I7" s="436"/>
      <c r="J7" s="436"/>
      <c r="K7" s="436"/>
      <c r="L7" s="436"/>
      <c r="M7" s="436"/>
    </row>
    <row r="8" spans="1:13" ht="8.25" customHeight="1" x14ac:dyDescent="0.3">
      <c r="B8" s="436"/>
      <c r="C8" s="436"/>
      <c r="D8" s="436"/>
      <c r="E8" s="436"/>
      <c r="F8" s="436"/>
      <c r="G8" s="436"/>
      <c r="H8" s="436"/>
      <c r="I8" s="436"/>
      <c r="J8" s="436"/>
      <c r="K8" s="436"/>
      <c r="L8" s="436"/>
      <c r="M8" s="436"/>
    </row>
    <row r="9" spans="1:13" ht="8.25" customHeight="1" x14ac:dyDescent="0.3"/>
    <row r="10" spans="1:13" s="7" customFormat="1" ht="18" x14ac:dyDescent="0.25">
      <c r="C10" s="430" t="s">
        <v>2</v>
      </c>
      <c r="D10" s="430"/>
      <c r="E10" s="429" t="s">
        <v>3</v>
      </c>
      <c r="F10" s="429"/>
      <c r="G10" s="429"/>
      <c r="H10" s="429"/>
      <c r="I10" s="429"/>
      <c r="J10" s="429"/>
      <c r="K10" s="429"/>
      <c r="L10" s="429"/>
    </row>
    <row r="11" spans="1:13" s="7" customFormat="1" ht="7.5" customHeight="1" x14ac:dyDescent="0.25">
      <c r="B11" s="8"/>
      <c r="C11" s="8"/>
      <c r="D11" s="8"/>
      <c r="E11" s="9"/>
      <c r="F11" s="8"/>
    </row>
    <row r="12" spans="1:13" s="7" customFormat="1" ht="18" x14ac:dyDescent="0.25">
      <c r="B12" s="10"/>
      <c r="C12" s="430" t="s">
        <v>4</v>
      </c>
      <c r="D12" s="430"/>
      <c r="E12" s="429" t="s">
        <v>5</v>
      </c>
      <c r="F12" s="429"/>
      <c r="G12" s="429"/>
      <c r="H12" s="429"/>
      <c r="I12" s="429"/>
      <c r="J12" s="429"/>
      <c r="K12" s="429"/>
      <c r="L12" s="429"/>
    </row>
    <row r="13" spans="1:13" s="7" customFormat="1" ht="7.5" customHeight="1" x14ac:dyDescent="0.25">
      <c r="B13" s="10"/>
      <c r="C13" s="10"/>
      <c r="D13" s="8"/>
      <c r="E13" s="9"/>
      <c r="F13" s="8"/>
    </row>
    <row r="14" spans="1:13" s="7" customFormat="1" ht="18" x14ac:dyDescent="0.25">
      <c r="B14" s="10"/>
      <c r="C14" s="430" t="s">
        <v>6</v>
      </c>
      <c r="D14" s="430"/>
      <c r="E14" s="429" t="s">
        <v>953</v>
      </c>
      <c r="F14" s="429"/>
      <c r="G14" s="429"/>
      <c r="H14" s="429"/>
      <c r="I14" s="429"/>
      <c r="J14" s="429"/>
      <c r="K14" s="429"/>
      <c r="L14" s="429"/>
    </row>
    <row r="15" spans="1:13" s="7" customFormat="1" ht="7.5" customHeight="1" x14ac:dyDescent="0.25">
      <c r="B15" s="10"/>
      <c r="C15" s="10"/>
      <c r="D15" s="8"/>
      <c r="E15" s="9"/>
      <c r="F15" s="8"/>
    </row>
    <row r="16" spans="1:13" s="7" customFormat="1" ht="18" x14ac:dyDescent="0.25">
      <c r="B16" s="10"/>
      <c r="C16" s="430" t="s">
        <v>7</v>
      </c>
      <c r="D16" s="430"/>
      <c r="E16" s="429" t="s">
        <v>8</v>
      </c>
      <c r="F16" s="429"/>
      <c r="G16" s="429"/>
      <c r="H16" s="429"/>
      <c r="I16" s="429"/>
      <c r="J16" s="429"/>
      <c r="K16" s="429"/>
      <c r="L16" s="429"/>
    </row>
    <row r="17" spans="2:13" s="7" customFormat="1" ht="7.5" customHeight="1" x14ac:dyDescent="0.25">
      <c r="B17" s="10"/>
      <c r="C17" s="10"/>
      <c r="D17" s="8"/>
      <c r="E17" s="9"/>
      <c r="F17" s="8"/>
    </row>
    <row r="18" spans="2:13" s="7" customFormat="1" ht="17.850000000000001" customHeight="1" x14ac:dyDescent="0.25">
      <c r="B18" s="10"/>
      <c r="C18" s="430" t="s">
        <v>9</v>
      </c>
      <c r="D18" s="430"/>
      <c r="E18" s="429" t="s">
        <v>10</v>
      </c>
      <c r="F18" s="429"/>
      <c r="G18" s="429"/>
      <c r="H18" s="429"/>
      <c r="I18" s="429"/>
      <c r="J18" s="429"/>
      <c r="K18" s="429"/>
      <c r="L18" s="429"/>
    </row>
    <row r="19" spans="2:13" s="7" customFormat="1" ht="7.5" customHeight="1" x14ac:dyDescent="0.25">
      <c r="B19" s="10"/>
      <c r="C19" s="10"/>
      <c r="D19" s="8"/>
      <c r="E19" s="9"/>
      <c r="F19" s="8"/>
    </row>
    <row r="20" spans="2:13" s="7" customFormat="1" ht="18" x14ac:dyDescent="0.25">
      <c r="B20" s="10"/>
      <c r="C20" s="430" t="s">
        <v>11</v>
      </c>
      <c r="D20" s="430"/>
      <c r="E20" s="429" t="s">
        <v>950</v>
      </c>
      <c r="F20" s="429"/>
      <c r="G20" s="429"/>
      <c r="H20" s="429"/>
      <c r="I20" s="429"/>
      <c r="J20" s="429"/>
      <c r="K20" s="429"/>
      <c r="L20" s="429"/>
    </row>
    <row r="21" spans="2:13" s="7" customFormat="1" ht="7.5" customHeight="1" x14ac:dyDescent="0.25">
      <c r="B21" s="10"/>
      <c r="C21" s="10"/>
      <c r="D21" s="8"/>
      <c r="E21" s="9"/>
      <c r="F21" s="8"/>
    </row>
    <row r="22" spans="2:13" s="7" customFormat="1" ht="18" x14ac:dyDescent="0.25">
      <c r="B22" s="10"/>
      <c r="C22" s="430" t="s">
        <v>12</v>
      </c>
      <c r="D22" s="430"/>
      <c r="E22" s="429" t="s">
        <v>13</v>
      </c>
      <c r="F22" s="429"/>
      <c r="G22" s="429"/>
      <c r="H22" s="429"/>
      <c r="I22" s="429"/>
      <c r="J22" s="429"/>
      <c r="K22" s="429"/>
      <c r="L22" s="429"/>
    </row>
    <row r="23" spans="2:13" s="7" customFormat="1" ht="7.5" customHeight="1" x14ac:dyDescent="0.25">
      <c r="B23" s="10"/>
      <c r="C23" s="10"/>
      <c r="D23" s="8"/>
      <c r="E23" s="9"/>
      <c r="F23" s="8"/>
    </row>
    <row r="24" spans="2:13" s="7" customFormat="1" ht="18" x14ac:dyDescent="0.25">
      <c r="B24" s="10"/>
      <c r="C24" s="430" t="s">
        <v>14</v>
      </c>
      <c r="D24" s="430"/>
      <c r="E24" s="429" t="s">
        <v>951</v>
      </c>
      <c r="F24" s="429"/>
      <c r="G24" s="429"/>
      <c r="H24" s="429"/>
      <c r="I24" s="429"/>
      <c r="J24" s="429"/>
      <c r="K24" s="429"/>
      <c r="L24" s="429"/>
    </row>
    <row r="25" spans="2:13" ht="9" customHeight="1" x14ac:dyDescent="0.3">
      <c r="D25" s="11"/>
    </row>
    <row r="26" spans="2:13" s="7" customFormat="1" ht="18" x14ac:dyDescent="0.25">
      <c r="B26" s="10"/>
      <c r="C26" s="430" t="s">
        <v>15</v>
      </c>
      <c r="D26" s="430"/>
      <c r="E26" s="429" t="s">
        <v>952</v>
      </c>
      <c r="F26" s="429"/>
      <c r="G26" s="429"/>
      <c r="H26" s="429"/>
      <c r="I26" s="429"/>
      <c r="J26" s="429"/>
      <c r="K26" s="429"/>
      <c r="L26" s="429"/>
    </row>
    <row r="27" spans="2:13" ht="9" customHeight="1" x14ac:dyDescent="0.3">
      <c r="D27" s="11"/>
    </row>
    <row r="28" spans="2:13" x14ac:dyDescent="0.3">
      <c r="B28" s="5"/>
      <c r="C28" s="5"/>
      <c r="D28" s="5"/>
      <c r="E28" s="12"/>
      <c r="F28" s="5"/>
      <c r="G28" s="5"/>
      <c r="H28" s="5"/>
      <c r="I28" s="5"/>
      <c r="J28" s="5"/>
      <c r="K28" s="5"/>
      <c r="L28" s="5"/>
      <c r="M28" s="5"/>
    </row>
    <row r="29" spans="2:13" x14ac:dyDescent="0.3">
      <c r="E29" s="431" t="s">
        <v>1000</v>
      </c>
      <c r="F29" s="432"/>
      <c r="G29" s="432"/>
      <c r="H29" s="432"/>
      <c r="I29" s="432"/>
      <c r="J29" s="432"/>
      <c r="K29" s="432"/>
      <c r="L29" s="432"/>
    </row>
    <row r="30" spans="2:13" x14ac:dyDescent="0.3">
      <c r="E30" s="432"/>
      <c r="F30" s="432"/>
      <c r="G30" s="432"/>
      <c r="H30" s="432"/>
      <c r="I30" s="432"/>
      <c r="J30" s="432"/>
      <c r="K30" s="432"/>
      <c r="L30" s="432"/>
    </row>
    <row r="31" spans="2:13" x14ac:dyDescent="0.3">
      <c r="E31" s="432"/>
      <c r="F31" s="432"/>
      <c r="G31" s="432"/>
      <c r="H31" s="432"/>
      <c r="I31" s="432"/>
      <c r="J31" s="432"/>
      <c r="K31" s="432"/>
      <c r="L31" s="432"/>
    </row>
    <row r="32" spans="2:13" x14ac:dyDescent="0.3">
      <c r="E32" s="432"/>
      <c r="F32" s="432"/>
      <c r="G32" s="432"/>
      <c r="H32" s="432"/>
      <c r="I32" s="432"/>
      <c r="J32" s="432"/>
      <c r="K32" s="432"/>
      <c r="L32" s="432"/>
    </row>
    <row r="33" spans="5:12" x14ac:dyDescent="0.3">
      <c r="E33" s="432"/>
      <c r="F33" s="432"/>
      <c r="G33" s="432"/>
      <c r="H33" s="432"/>
      <c r="I33" s="432"/>
      <c r="J33" s="432"/>
      <c r="K33" s="432"/>
      <c r="L33" s="432"/>
    </row>
    <row r="34" spans="5:12" x14ac:dyDescent="0.3">
      <c r="E34" s="432"/>
      <c r="F34" s="432"/>
      <c r="G34" s="432"/>
      <c r="H34" s="432"/>
      <c r="I34" s="432"/>
      <c r="J34" s="432"/>
      <c r="K34" s="432"/>
      <c r="L34" s="432"/>
    </row>
    <row r="35" spans="5:12" x14ac:dyDescent="0.3">
      <c r="E35" s="432"/>
      <c r="F35" s="432"/>
      <c r="G35" s="432"/>
      <c r="H35" s="432"/>
      <c r="I35" s="432"/>
      <c r="J35" s="432"/>
      <c r="K35" s="432"/>
      <c r="L35" s="432"/>
    </row>
    <row r="36" spans="5:12" x14ac:dyDescent="0.3">
      <c r="E36" s="432"/>
      <c r="F36" s="432"/>
      <c r="G36" s="432"/>
      <c r="H36" s="432"/>
      <c r="I36" s="432"/>
      <c r="J36" s="432"/>
      <c r="K36" s="432"/>
      <c r="L36" s="432"/>
    </row>
    <row r="37" spans="5:12" x14ac:dyDescent="0.3">
      <c r="E37" s="432"/>
      <c r="F37" s="432"/>
      <c r="G37" s="432"/>
      <c r="H37" s="432"/>
      <c r="I37" s="432"/>
      <c r="J37" s="432"/>
      <c r="K37" s="432"/>
      <c r="L37" s="432"/>
    </row>
    <row r="38" spans="5:12" x14ac:dyDescent="0.3">
      <c r="E38" s="432"/>
      <c r="F38" s="432"/>
      <c r="G38" s="432"/>
      <c r="H38" s="432"/>
      <c r="I38" s="432"/>
      <c r="J38" s="432"/>
      <c r="K38" s="432"/>
      <c r="L38" s="432"/>
    </row>
  </sheetData>
  <sheetProtection sheet="1" objects="1" scenarios="1"/>
  <mergeCells count="23">
    <mergeCell ref="E29:L38"/>
    <mergeCell ref="E1:L4"/>
    <mergeCell ref="M2:M3"/>
    <mergeCell ref="E6:L6"/>
    <mergeCell ref="B7:M8"/>
    <mergeCell ref="C10:D10"/>
    <mergeCell ref="E10:L10"/>
    <mergeCell ref="C12:D12"/>
    <mergeCell ref="E12:L12"/>
    <mergeCell ref="C14:D14"/>
    <mergeCell ref="E14:L14"/>
    <mergeCell ref="C16:D16"/>
    <mergeCell ref="E16:L16"/>
    <mergeCell ref="C24:D24"/>
    <mergeCell ref="E24:L24"/>
    <mergeCell ref="C26:D26"/>
    <mergeCell ref="E26:L26"/>
    <mergeCell ref="C18:D18"/>
    <mergeCell ref="E18:L18"/>
    <mergeCell ref="C20:D20"/>
    <mergeCell ref="E20:L20"/>
    <mergeCell ref="C22:D22"/>
    <mergeCell ref="E22:L22"/>
  </mergeCells>
  <hyperlinks>
    <hyperlink ref="E10" location="'0_Datos generales organización'!A1" display="Datos generales de la organización"/>
    <hyperlink ref="E12" location="'1_Combustibles fósiles'!A1" display="Huella de carbono Alcance 1: Combustibles fósiles"/>
    <hyperlink ref="E14" location="'2_Fluorados'!A1" display="Huella de carbono Alcance 1: Fugas de gases fluorados (equipos de climatización y refrigeración)"/>
    <hyperlink ref="E16" location="'3_Emisiones proceso'!A1" display="Huella de carbono Alcance 1: Emisiones de proceso"/>
    <hyperlink ref="E18" location="'4.1_Electricidad Illes Balears'!A1" display="Huella de carbono Alcance 2: Electricidad registro balear"/>
    <hyperlink ref="E20" location="'4.2_Electricidad España'!A1" display="Huella de carbono Alcance 2: Electricidad resgistro español"/>
    <hyperlink ref="E22" location="'5_Información adicional'!A1" display="Información adicional: Renovables"/>
    <hyperlink ref="E24" location="'6.1_Resultados Illes Balears'!A1" display="Informe final: Resultados resgistro balear"/>
    <hyperlink ref="E26" location="'6.2_Resultados España'!A1" display="Informe final: Resultados resgistro español"/>
    <hyperlink ref="E20:L20" location="'4.2_Electricidad España'!A1" display="Huella de carbono Alcance 2: Electricidad registro español"/>
    <hyperlink ref="E24:L24" location="'6.1_Resultados Illes Balears'!A1" display="Informe final: Resultados registro balear"/>
    <hyperlink ref="E26:L26" location="'6.2_Resultados España'!A1" display="Informe final: Resultados registro español"/>
    <hyperlink ref="E14:L14" location="'2_Fluorados'!A1" display="Huella de carbono Alcance 1: Fugas de gases fluorados"/>
  </hyperlinks>
  <pageMargins left="0.75" right="0.75" top="1" bottom="1" header="0.51180555555555496" footer="0.51180555555555496"/>
  <pageSetup paperSize="9" scale="45" firstPageNumber="0"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AMK321"/>
  <sheetViews>
    <sheetView showRowColHeaders="0" zoomScaleNormal="100" workbookViewId="0">
      <pane xSplit="1" topLeftCell="B1" activePane="topRight" state="frozen"/>
      <selection pane="topRight" activeCell="C1" sqref="C1:U1"/>
    </sheetView>
  </sheetViews>
  <sheetFormatPr baseColWidth="10" defaultColWidth="9.140625" defaultRowHeight="16.5" x14ac:dyDescent="0.3"/>
  <cols>
    <col min="1" max="1" width="31.42578125" style="13" customWidth="1"/>
    <col min="2" max="2" width="3" style="13" customWidth="1"/>
    <col min="3" max="3" width="3.42578125" style="2" customWidth="1"/>
    <col min="4" max="4" width="1.28515625" style="2" customWidth="1"/>
    <col min="5" max="5" width="17.85546875" style="2" customWidth="1"/>
    <col min="6" max="6" width="14.140625" style="2" customWidth="1"/>
    <col min="7" max="7" width="13.7109375" style="104" customWidth="1"/>
    <col min="8" max="8" width="9.42578125" style="104" customWidth="1"/>
    <col min="9" max="9" width="6.5703125" style="104" customWidth="1"/>
    <col min="10" max="10" width="4" style="104" customWidth="1"/>
    <col min="11" max="11" width="5.140625" style="104" customWidth="1"/>
    <col min="12" max="12" width="2.5703125" style="104" customWidth="1"/>
    <col min="13" max="13" width="17.28515625" style="104" customWidth="1"/>
    <col min="14" max="14" width="7.140625" style="2" customWidth="1"/>
    <col min="15" max="15" width="19.5703125" style="2" customWidth="1"/>
    <col min="16" max="16" width="8.85546875" style="2" customWidth="1"/>
    <col min="17" max="17" width="8.28515625" style="2" customWidth="1"/>
    <col min="18" max="18" width="6.7109375" style="2" customWidth="1"/>
    <col min="19" max="20" width="4" style="2" customWidth="1"/>
    <col min="21" max="21" width="6.140625" style="2" customWidth="1"/>
    <col min="22" max="32" width="11.42578125" style="73"/>
    <col min="33" max="1025" width="11.42578125" style="2"/>
  </cols>
  <sheetData>
    <row r="1" spans="1:22" s="26" customFormat="1" ht="40.700000000000003" customHeight="1" x14ac:dyDescent="0.25">
      <c r="A1" s="13"/>
      <c r="B1" s="14"/>
      <c r="C1" s="439" t="s">
        <v>181</v>
      </c>
      <c r="D1" s="439"/>
      <c r="E1" s="439"/>
      <c r="F1" s="439"/>
      <c r="G1" s="439"/>
      <c r="H1" s="439"/>
      <c r="I1" s="439"/>
      <c r="J1" s="439"/>
      <c r="K1" s="439"/>
      <c r="L1" s="439"/>
      <c r="M1" s="439"/>
      <c r="N1" s="439"/>
      <c r="O1" s="439"/>
      <c r="P1" s="439"/>
      <c r="Q1" s="439"/>
      <c r="R1" s="439"/>
      <c r="S1" s="439"/>
      <c r="T1" s="439"/>
      <c r="U1" s="439"/>
    </row>
    <row r="2" spans="1:22" s="26" customFormat="1" ht="40.700000000000003" customHeight="1" x14ac:dyDescent="0.25">
      <c r="A2" s="13"/>
      <c r="B2" s="14"/>
      <c r="N2" s="27"/>
      <c r="O2" s="27"/>
      <c r="P2" s="27"/>
      <c r="Q2" s="27"/>
      <c r="R2" s="27"/>
      <c r="S2" s="27"/>
      <c r="T2" s="27"/>
    </row>
    <row r="3" spans="1:22" s="26" customFormat="1" ht="18" customHeight="1" x14ac:dyDescent="0.2">
      <c r="A3" s="18" t="s">
        <v>17</v>
      </c>
      <c r="B3" s="16"/>
      <c r="E3" s="528" t="s">
        <v>149</v>
      </c>
      <c r="F3" s="528"/>
      <c r="G3" s="529" t="str">
        <f>IF(ISTEXT(Dades!$E$519),Dades!$E$519,"")</f>
        <v/>
      </c>
      <c r="H3" s="529"/>
      <c r="I3" s="529"/>
      <c r="J3" s="529"/>
      <c r="K3" s="529"/>
      <c r="L3" s="529"/>
      <c r="M3" s="529"/>
      <c r="N3" s="529"/>
      <c r="O3" s="529"/>
      <c r="P3" s="529"/>
      <c r="Q3" s="529"/>
      <c r="R3" s="529"/>
      <c r="S3" s="529"/>
      <c r="T3" s="27"/>
    </row>
    <row r="4" spans="1:22" s="26" customFormat="1" ht="8.25" customHeight="1" x14ac:dyDescent="0.3">
      <c r="A4" s="525" t="s">
        <v>19</v>
      </c>
      <c r="B4" s="16"/>
      <c r="E4" s="112"/>
      <c r="F4" s="113"/>
      <c r="G4" s="46"/>
      <c r="H4" s="46"/>
      <c r="I4" s="46"/>
      <c r="J4" s="46"/>
      <c r="K4" s="46"/>
      <c r="L4" s="46"/>
      <c r="M4" s="46"/>
      <c r="N4" s="46"/>
      <c r="O4" s="46"/>
      <c r="P4" s="46"/>
      <c r="Q4" s="46"/>
      <c r="R4" s="46"/>
      <c r="S4" s="46"/>
      <c r="T4" s="27"/>
    </row>
    <row r="5" spans="1:22" s="26" customFormat="1" ht="8.25" customHeight="1" x14ac:dyDescent="0.2">
      <c r="A5" s="525"/>
      <c r="B5" s="16"/>
      <c r="E5" s="528" t="s">
        <v>150</v>
      </c>
      <c r="F5" s="528"/>
      <c r="G5" s="537" t="str">
        <f>IF(ISTEXT(Dades!$E$520),Dades!$E$520,"")</f>
        <v/>
      </c>
      <c r="H5" s="537"/>
      <c r="I5" s="537"/>
      <c r="J5" s="537"/>
      <c r="K5" s="537"/>
      <c r="L5" s="537"/>
      <c r="M5" s="537"/>
      <c r="N5" s="537"/>
      <c r="O5" s="537"/>
      <c r="P5" s="537"/>
      <c r="Q5" s="537"/>
      <c r="R5" s="537"/>
      <c r="S5" s="537"/>
      <c r="T5" s="27"/>
    </row>
    <row r="6" spans="1:22" s="26" customFormat="1" ht="8.25" customHeight="1" x14ac:dyDescent="0.2">
      <c r="A6" s="525" t="s">
        <v>20</v>
      </c>
      <c r="B6" s="16"/>
      <c r="E6" s="528"/>
      <c r="F6" s="528"/>
      <c r="G6" s="537"/>
      <c r="H6" s="537"/>
      <c r="I6" s="537"/>
      <c r="J6" s="537"/>
      <c r="K6" s="537"/>
      <c r="L6" s="537"/>
      <c r="M6" s="537"/>
      <c r="N6" s="537"/>
      <c r="O6" s="537"/>
      <c r="P6" s="537"/>
      <c r="Q6" s="537"/>
      <c r="R6" s="537"/>
      <c r="S6" s="537"/>
      <c r="T6" s="27"/>
    </row>
    <row r="7" spans="1:22" ht="8.25" customHeight="1" x14ac:dyDescent="0.3">
      <c r="A7" s="525"/>
      <c r="B7" s="16"/>
      <c r="E7" s="112"/>
      <c r="F7" s="113"/>
      <c r="G7" s="46"/>
      <c r="H7" s="46"/>
      <c r="I7" s="46"/>
      <c r="J7" s="46"/>
      <c r="K7" s="46"/>
      <c r="L7" s="46"/>
      <c r="M7" s="46"/>
      <c r="N7" s="46"/>
      <c r="O7" s="46"/>
      <c r="P7" s="46"/>
      <c r="Q7" s="46"/>
      <c r="R7" s="46"/>
      <c r="S7" s="46"/>
    </row>
    <row r="8" spans="1:22" ht="8.25" customHeight="1" x14ac:dyDescent="0.3">
      <c r="A8" s="525" t="s">
        <v>24</v>
      </c>
      <c r="D8" s="469" t="s">
        <v>151</v>
      </c>
      <c r="E8" s="469"/>
      <c r="F8" s="469"/>
      <c r="G8" s="469"/>
      <c r="H8" s="469"/>
      <c r="I8" s="469"/>
      <c r="J8" s="469"/>
      <c r="K8" s="469"/>
      <c r="L8" s="469"/>
      <c r="M8" s="469"/>
      <c r="N8" s="469"/>
      <c r="O8" s="469"/>
      <c r="P8" s="469"/>
      <c r="Q8" s="469"/>
      <c r="R8" s="469"/>
      <c r="S8" s="469"/>
      <c r="T8" s="469"/>
      <c r="U8" s="469"/>
    </row>
    <row r="9" spans="1:22" ht="8.25" customHeight="1" x14ac:dyDescent="0.3">
      <c r="A9" s="525"/>
      <c r="D9" s="469"/>
      <c r="E9" s="469"/>
      <c r="F9" s="469"/>
      <c r="G9" s="469"/>
      <c r="H9" s="469"/>
      <c r="I9" s="469"/>
      <c r="J9" s="469"/>
      <c r="K9" s="469"/>
      <c r="L9" s="469"/>
      <c r="M9" s="469"/>
      <c r="N9" s="469"/>
      <c r="O9" s="469"/>
      <c r="P9" s="469"/>
      <c r="Q9" s="469"/>
      <c r="R9" s="469"/>
      <c r="S9" s="469"/>
      <c r="T9" s="469"/>
      <c r="U9" s="469"/>
    </row>
    <row r="10" spans="1:22" ht="8.25" customHeight="1" x14ac:dyDescent="0.3">
      <c r="A10" s="525" t="s">
        <v>26</v>
      </c>
      <c r="G10" s="2"/>
      <c r="H10" s="2"/>
      <c r="I10" s="2"/>
      <c r="J10" s="2"/>
      <c r="K10" s="2"/>
      <c r="L10" s="2"/>
      <c r="M10" s="2"/>
    </row>
    <row r="11" spans="1:22" ht="8.25" customHeight="1" x14ac:dyDescent="0.3">
      <c r="A11" s="525"/>
      <c r="E11" s="526" t="s">
        <v>954</v>
      </c>
      <c r="F11" s="526"/>
      <c r="G11" s="526"/>
      <c r="H11" s="526"/>
      <c r="I11" s="526"/>
      <c r="J11" s="526"/>
      <c r="K11" s="526"/>
      <c r="L11" s="526"/>
      <c r="M11" s="526"/>
      <c r="N11" s="114"/>
      <c r="O11" s="114"/>
      <c r="P11" s="114"/>
      <c r="Q11" s="114"/>
      <c r="R11" s="114"/>
      <c r="S11" s="114"/>
      <c r="T11" s="114"/>
      <c r="U11" s="114"/>
      <c r="V11" s="114"/>
    </row>
    <row r="12" spans="1:22" ht="8.25" customHeight="1" x14ac:dyDescent="0.3">
      <c r="A12" s="525" t="s">
        <v>27</v>
      </c>
      <c r="E12" s="526"/>
      <c r="F12" s="526"/>
      <c r="G12" s="526"/>
      <c r="H12" s="526"/>
      <c r="I12" s="526"/>
      <c r="J12" s="526"/>
      <c r="K12" s="526"/>
      <c r="L12" s="526"/>
      <c r="M12" s="526"/>
      <c r="N12" s="114"/>
      <c r="O12" s="114"/>
      <c r="P12" s="114"/>
      <c r="Q12" s="114"/>
      <c r="R12" s="114"/>
      <c r="S12" s="114"/>
      <c r="T12" s="114"/>
      <c r="U12" s="114"/>
      <c r="V12" s="114"/>
    </row>
    <row r="13" spans="1:22" ht="7.5" customHeight="1" x14ac:dyDescent="0.3">
      <c r="A13" s="525"/>
      <c r="E13" s="46"/>
      <c r="F13" s="46"/>
      <c r="G13" s="46"/>
      <c r="H13" s="46"/>
      <c r="I13" s="46"/>
      <c r="J13" s="46"/>
      <c r="K13" s="46"/>
      <c r="L13" s="46"/>
      <c r="M13" s="46"/>
      <c r="N13" s="46"/>
      <c r="O13" s="46"/>
      <c r="P13" s="46"/>
      <c r="Q13" s="46"/>
      <c r="R13" s="46"/>
      <c r="S13" s="46"/>
    </row>
    <row r="14" spans="1:22" ht="16.5" customHeight="1" x14ac:dyDescent="0.3">
      <c r="A14" s="18" t="s">
        <v>29</v>
      </c>
      <c r="E14" s="527" t="s">
        <v>152</v>
      </c>
      <c r="F14" s="527"/>
      <c r="G14" s="196">
        <f>IF(ISNUMBER('0_Datos generales organización'!G3),'0_Datos generales organización'!G3,"")</f>
        <v>2020</v>
      </c>
      <c r="H14" s="46"/>
      <c r="I14" s="46"/>
      <c r="J14" s="46"/>
      <c r="K14" s="46"/>
      <c r="L14" s="116"/>
      <c r="M14" s="117"/>
      <c r="N14" s="46"/>
      <c r="O14" s="46"/>
      <c r="P14" s="46"/>
      <c r="Q14" s="46"/>
      <c r="R14" s="46"/>
      <c r="S14" s="46"/>
    </row>
    <row r="15" spans="1:22" ht="16.5" customHeight="1" x14ac:dyDescent="0.3">
      <c r="A15" s="18" t="s">
        <v>31</v>
      </c>
      <c r="E15" s="26"/>
      <c r="F15" s="26"/>
      <c r="G15" s="26"/>
      <c r="H15" s="26"/>
      <c r="I15" s="26"/>
      <c r="J15" s="26"/>
      <c r="K15" s="26"/>
      <c r="L15" s="116"/>
      <c r="M15" s="117"/>
      <c r="N15" s="46"/>
      <c r="O15" s="46"/>
      <c r="P15" s="46"/>
      <c r="Q15" s="46"/>
      <c r="R15" s="46"/>
      <c r="S15" s="46"/>
    </row>
    <row r="16" spans="1:22" ht="16.5" customHeight="1" x14ac:dyDescent="0.3">
      <c r="A16" s="15" t="s">
        <v>32</v>
      </c>
      <c r="E16" s="519" t="s">
        <v>153</v>
      </c>
      <c r="F16" s="519"/>
      <c r="G16" s="519"/>
      <c r="H16" s="513">
        <f>ROUND((H27/1000),2)</f>
        <v>0</v>
      </c>
      <c r="I16" s="513"/>
      <c r="J16" s="536" t="s">
        <v>182</v>
      </c>
      <c r="K16" s="536"/>
      <c r="L16" s="116"/>
      <c r="M16" s="117"/>
      <c r="N16" s="46"/>
      <c r="O16" s="46"/>
      <c r="P16" s="46"/>
      <c r="Q16" s="46"/>
      <c r="R16" s="46"/>
      <c r="S16" s="46"/>
    </row>
    <row r="17" spans="1:21" ht="16.5" customHeight="1" x14ac:dyDescent="0.3">
      <c r="A17" s="525"/>
      <c r="E17" s="519" t="s">
        <v>155</v>
      </c>
      <c r="F17" s="519"/>
      <c r="G17" s="519"/>
      <c r="H17" s="513">
        <f>ROUND((H29/1000),2)</f>
        <v>0</v>
      </c>
      <c r="I17" s="513"/>
      <c r="J17" s="536" t="s">
        <v>182</v>
      </c>
      <c r="K17" s="536"/>
      <c r="L17" s="116"/>
      <c r="M17" s="117"/>
      <c r="N17" s="46"/>
      <c r="O17" s="46"/>
      <c r="P17" s="46"/>
      <c r="Q17" s="46"/>
      <c r="R17" s="46"/>
      <c r="S17" s="46"/>
    </row>
    <row r="18" spans="1:21" ht="3" customHeight="1" x14ac:dyDescent="0.3">
      <c r="A18" s="525"/>
      <c r="E18" s="46"/>
      <c r="F18" s="46"/>
      <c r="G18" s="46"/>
      <c r="H18" s="118"/>
      <c r="I18" s="118"/>
      <c r="J18" s="46"/>
      <c r="K18" s="46"/>
      <c r="L18" s="116"/>
      <c r="M18" s="119"/>
      <c r="N18" s="46"/>
      <c r="O18" s="46"/>
      <c r="P18" s="46"/>
      <c r="Q18" s="46"/>
      <c r="R18" s="46"/>
      <c r="S18" s="46"/>
    </row>
    <row r="19" spans="1:21" ht="15.75" customHeight="1" x14ac:dyDescent="0.3">
      <c r="A19" s="17"/>
      <c r="E19" s="519" t="s">
        <v>156</v>
      </c>
      <c r="F19" s="519"/>
      <c r="G19" s="519"/>
      <c r="H19" s="520">
        <f>ROUND((H31/1000),2)</f>
        <v>0</v>
      </c>
      <c r="I19" s="520"/>
      <c r="J19" s="521" t="s">
        <v>157</v>
      </c>
      <c r="K19" s="521"/>
      <c r="L19" s="116"/>
      <c r="M19" s="117"/>
      <c r="N19" s="46"/>
      <c r="O19" s="46"/>
      <c r="P19" s="46"/>
      <c r="Q19" s="46"/>
      <c r="R19" s="46"/>
      <c r="S19" s="46"/>
    </row>
    <row r="20" spans="1:21" ht="15.75" customHeight="1" x14ac:dyDescent="0.3">
      <c r="A20" s="18"/>
      <c r="E20" s="26"/>
      <c r="F20" s="26"/>
      <c r="G20" s="26"/>
      <c r="H20" s="26"/>
      <c r="I20" s="26"/>
      <c r="J20" s="26"/>
      <c r="K20" s="26"/>
      <c r="L20" s="116"/>
      <c r="M20" s="119"/>
      <c r="N20" s="46"/>
      <c r="O20" s="46"/>
      <c r="P20" s="46"/>
      <c r="Q20" s="46"/>
      <c r="R20" s="46"/>
      <c r="S20" s="46"/>
    </row>
    <row r="21" spans="1:21" ht="15.75" customHeight="1" x14ac:dyDescent="0.3">
      <c r="A21" s="17"/>
      <c r="E21" s="535" t="s">
        <v>183</v>
      </c>
      <c r="F21" s="535"/>
      <c r="G21" s="535"/>
      <c r="H21" s="535"/>
      <c r="I21" s="535"/>
      <c r="J21" s="535"/>
      <c r="K21" s="535"/>
      <c r="L21" s="535"/>
      <c r="M21" s="119"/>
      <c r="N21" s="46"/>
      <c r="O21" s="46"/>
      <c r="P21" s="46"/>
      <c r="Q21" s="46"/>
      <c r="R21" s="46"/>
      <c r="S21" s="46"/>
    </row>
    <row r="22" spans="1:21" s="26" customFormat="1" ht="6" customHeight="1" x14ac:dyDescent="0.25">
      <c r="A22" s="17"/>
      <c r="B22" s="13"/>
      <c r="E22" s="120"/>
      <c r="F22" s="120"/>
      <c r="G22" s="120"/>
      <c r="H22" s="120"/>
      <c r="I22" s="120"/>
      <c r="J22" s="120"/>
      <c r="K22" s="120"/>
      <c r="L22" s="120"/>
      <c r="M22" s="121"/>
      <c r="N22" s="46"/>
      <c r="O22" s="46"/>
      <c r="P22" s="46"/>
      <c r="Q22" s="46"/>
      <c r="R22" s="46"/>
      <c r="S22" s="46"/>
    </row>
    <row r="23" spans="1:21" s="26" customFormat="1" ht="15.75" customHeight="1" x14ac:dyDescent="0.25">
      <c r="A23" s="17"/>
      <c r="B23" s="13"/>
      <c r="E23" s="523" t="s">
        <v>153</v>
      </c>
      <c r="F23" s="512" t="s">
        <v>159</v>
      </c>
      <c r="G23" s="512"/>
      <c r="H23" s="524">
        <f>'1_Combustibles fósiles'!O22</f>
        <v>0</v>
      </c>
      <c r="I23" s="524"/>
      <c r="J23" s="536" t="s">
        <v>956</v>
      </c>
      <c r="K23" s="536"/>
      <c r="L23" s="46"/>
      <c r="M23" s="46"/>
      <c r="N23" s="46"/>
      <c r="O23" s="46"/>
      <c r="P23" s="46"/>
      <c r="Q23" s="46"/>
      <c r="R23" s="46"/>
      <c r="S23" s="46"/>
    </row>
    <row r="24" spans="1:21" s="26" customFormat="1" ht="15.75" customHeight="1" x14ac:dyDescent="0.25">
      <c r="A24" s="17"/>
      <c r="B24" s="13"/>
      <c r="E24" s="523"/>
      <c r="F24" s="512" t="s">
        <v>160</v>
      </c>
      <c r="G24" s="512"/>
      <c r="H24" s="524">
        <f>'1_Combustibles fósiles'!V53</f>
        <v>0</v>
      </c>
      <c r="I24" s="524"/>
      <c r="J24" s="536" t="s">
        <v>956</v>
      </c>
      <c r="K24" s="536"/>
    </row>
    <row r="25" spans="1:21" s="26" customFormat="1" ht="15.75" customHeight="1" x14ac:dyDescent="0.25">
      <c r="A25" s="17"/>
      <c r="B25" s="13"/>
      <c r="E25" s="523"/>
      <c r="F25" s="512" t="s">
        <v>161</v>
      </c>
      <c r="G25" s="512"/>
      <c r="H25" s="524">
        <f>'2_Fluorados'!Q16</f>
        <v>0</v>
      </c>
      <c r="I25" s="524"/>
      <c r="J25" s="536" t="s">
        <v>184</v>
      </c>
      <c r="K25" s="536"/>
    </row>
    <row r="26" spans="1:21" s="26" customFormat="1" ht="15.75" customHeight="1" x14ac:dyDescent="0.25">
      <c r="A26" s="17"/>
      <c r="B26" s="13"/>
      <c r="E26" s="523"/>
      <c r="F26" s="512" t="s">
        <v>163</v>
      </c>
      <c r="G26" s="512"/>
      <c r="H26" s="524">
        <f>'3_Emisiones proceso'!M18</f>
        <v>0</v>
      </c>
      <c r="I26" s="524"/>
      <c r="J26" s="536" t="s">
        <v>184</v>
      </c>
      <c r="K26" s="536"/>
      <c r="L26" s="122"/>
      <c r="M26" s="122"/>
      <c r="N26" s="122"/>
      <c r="O26" s="122"/>
      <c r="P26" s="122"/>
      <c r="Q26" s="122"/>
      <c r="R26" s="122"/>
      <c r="S26" s="122"/>
      <c r="T26" s="122"/>
      <c r="U26" s="122"/>
    </row>
    <row r="27" spans="1:21" s="26" customFormat="1" ht="15.75" customHeight="1" x14ac:dyDescent="0.25">
      <c r="A27" s="17"/>
      <c r="B27" s="13"/>
      <c r="E27" s="512" t="s">
        <v>164</v>
      </c>
      <c r="F27" s="512"/>
      <c r="G27" s="512"/>
      <c r="H27" s="524">
        <f>ROUND(SUM(H23:I26),2)</f>
        <v>0</v>
      </c>
      <c r="I27" s="524"/>
      <c r="J27" s="532" t="s">
        <v>185</v>
      </c>
      <c r="K27" s="532"/>
      <c r="M27" s="117"/>
      <c r="N27" s="46"/>
      <c r="O27" s="46"/>
      <c r="P27" s="46"/>
      <c r="Q27" s="46"/>
      <c r="R27" s="46"/>
      <c r="S27" s="46"/>
    </row>
    <row r="28" spans="1:21" s="26" customFormat="1" ht="3" customHeight="1" x14ac:dyDescent="0.25">
      <c r="A28" s="17"/>
      <c r="B28" s="13"/>
      <c r="E28" s="123"/>
      <c r="F28" s="124"/>
      <c r="G28" s="124"/>
      <c r="H28" s="197"/>
      <c r="I28" s="197"/>
      <c r="J28" s="124"/>
      <c r="K28" s="124"/>
      <c r="M28" s="117"/>
      <c r="N28" s="46"/>
      <c r="O28" s="46"/>
      <c r="P28" s="46"/>
      <c r="Q28" s="46"/>
      <c r="R28" s="46"/>
      <c r="S28" s="46"/>
    </row>
    <row r="29" spans="1:21" ht="16.5" customHeight="1" x14ac:dyDescent="0.3">
      <c r="A29" s="17"/>
      <c r="E29" s="127" t="s">
        <v>155</v>
      </c>
      <c r="F29" s="512" t="s">
        <v>166</v>
      </c>
      <c r="G29" s="512"/>
      <c r="H29" s="524">
        <f>'4.2_Electricidad España'!K20+'4.2_Electricidad España'!K49</f>
        <v>0</v>
      </c>
      <c r="I29" s="524"/>
      <c r="J29" s="533" t="s">
        <v>957</v>
      </c>
      <c r="K29" s="533"/>
      <c r="L29" s="26"/>
      <c r="M29" s="117"/>
      <c r="N29" s="46"/>
      <c r="O29" s="46"/>
      <c r="P29" s="46"/>
      <c r="Q29" s="46"/>
      <c r="R29" s="46"/>
      <c r="S29" s="46"/>
    </row>
    <row r="30" spans="1:21" ht="3" customHeight="1" x14ac:dyDescent="0.3">
      <c r="A30" s="17"/>
      <c r="E30" s="46"/>
      <c r="F30" s="46"/>
      <c r="G30" s="46"/>
      <c r="H30" s="118"/>
      <c r="I30" s="118"/>
      <c r="J30" s="46"/>
      <c r="K30" s="46"/>
      <c r="L30" s="26"/>
      <c r="M30" s="117"/>
      <c r="N30" s="46"/>
      <c r="O30" s="46"/>
      <c r="P30" s="46"/>
      <c r="Q30" s="46"/>
      <c r="R30" s="46"/>
      <c r="S30" s="46"/>
    </row>
    <row r="31" spans="1:21" ht="16.5" customHeight="1" x14ac:dyDescent="0.3">
      <c r="A31" s="17"/>
      <c r="E31" s="516" t="s">
        <v>156</v>
      </c>
      <c r="F31" s="516"/>
      <c r="G31" s="516"/>
      <c r="H31" s="517">
        <f>IF(ISNUMBER(SUM(H27+H29)),ROUND(SUM(H27+H29),2),"")</f>
        <v>0</v>
      </c>
      <c r="I31" s="517"/>
      <c r="J31" s="534" t="s">
        <v>185</v>
      </c>
      <c r="K31" s="534"/>
      <c r="L31" s="26"/>
      <c r="M31" s="117"/>
      <c r="N31" s="46"/>
      <c r="O31" s="46"/>
      <c r="P31" s="46"/>
      <c r="Q31" s="46"/>
      <c r="R31" s="46"/>
      <c r="S31" s="46"/>
    </row>
    <row r="32" spans="1:21" s="26" customFormat="1" ht="16.5" customHeight="1" x14ac:dyDescent="0.25">
      <c r="A32" s="17"/>
      <c r="B32" s="13"/>
      <c r="E32" s="508" t="s">
        <v>167</v>
      </c>
      <c r="F32" s="508"/>
      <c r="G32" s="508"/>
      <c r="H32" s="508"/>
      <c r="I32" s="508"/>
      <c r="J32" s="508"/>
      <c r="K32" s="508"/>
      <c r="M32" s="117"/>
      <c r="N32" s="46"/>
      <c r="O32" s="46"/>
      <c r="P32" s="46"/>
      <c r="Q32" s="46"/>
      <c r="R32" s="46"/>
      <c r="S32" s="46"/>
    </row>
    <row r="33" spans="1:21" s="26" customFormat="1" ht="11.25" customHeight="1" x14ac:dyDescent="0.25">
      <c r="A33" s="47"/>
      <c r="B33" s="13"/>
      <c r="E33" s="128"/>
      <c r="F33" s="128"/>
      <c r="G33" s="128"/>
      <c r="H33" s="128"/>
      <c r="I33" s="128"/>
      <c r="J33" s="128"/>
      <c r="K33" s="128"/>
      <c r="L33" s="46"/>
      <c r="M33" s="46"/>
      <c r="N33" s="46"/>
      <c r="O33" s="46"/>
      <c r="P33" s="46"/>
      <c r="Q33" s="46"/>
      <c r="R33" s="46"/>
      <c r="S33" s="46"/>
    </row>
    <row r="34" spans="1:21" s="26" customFormat="1" ht="17.25" customHeight="1" x14ac:dyDescent="0.25">
      <c r="A34" s="47"/>
      <c r="B34" s="13"/>
      <c r="D34" s="469" t="s">
        <v>168</v>
      </c>
      <c r="E34" s="469"/>
      <c r="F34" s="469"/>
      <c r="G34" s="469"/>
      <c r="H34" s="469"/>
      <c r="I34" s="469"/>
      <c r="J34" s="469"/>
      <c r="K34" s="469"/>
      <c r="L34" s="469"/>
      <c r="M34" s="469"/>
      <c r="N34" s="469"/>
      <c r="O34" s="469"/>
      <c r="P34" s="469"/>
      <c r="Q34" s="469"/>
      <c r="R34" s="469"/>
      <c r="S34" s="469"/>
      <c r="T34" s="469"/>
      <c r="U34" s="469"/>
    </row>
    <row r="35" spans="1:21" s="26" customFormat="1" ht="9" customHeight="1" x14ac:dyDescent="0.25">
      <c r="A35" s="47"/>
      <c r="B35" s="13"/>
      <c r="E35" s="46"/>
      <c r="F35" s="46"/>
      <c r="G35" s="46"/>
      <c r="H35" s="46"/>
      <c r="I35" s="46"/>
      <c r="J35" s="46"/>
      <c r="K35" s="46"/>
      <c r="L35" s="46"/>
      <c r="M35" s="46"/>
      <c r="N35" s="46"/>
      <c r="O35" s="46"/>
      <c r="P35" s="46"/>
      <c r="Q35" s="46"/>
      <c r="R35" s="46"/>
      <c r="S35" s="46"/>
    </row>
    <row r="36" spans="1:21" s="26" customFormat="1" ht="4.5" customHeight="1" x14ac:dyDescent="0.3">
      <c r="A36" s="47"/>
      <c r="B36" s="13"/>
      <c r="E36" s="129"/>
      <c r="F36" s="130"/>
      <c r="G36" s="130"/>
      <c r="H36" s="131"/>
      <c r="I36" s="131"/>
      <c r="J36" s="132"/>
      <c r="K36" s="133"/>
      <c r="L36" s="2"/>
      <c r="M36" s="2"/>
      <c r="N36" s="46"/>
      <c r="O36" s="46"/>
      <c r="P36" s="46"/>
      <c r="Q36" s="46"/>
      <c r="R36" s="46"/>
      <c r="S36" s="46"/>
    </row>
    <row r="37" spans="1:21" ht="18" customHeight="1" x14ac:dyDescent="0.3">
      <c r="A37" s="47"/>
      <c r="E37" s="134"/>
      <c r="F37" s="135"/>
      <c r="G37" s="136" t="str">
        <f>IF(ISNUMBER(Dades!G546),Dades!G546,"")</f>
        <v/>
      </c>
      <c r="H37" s="137" t="s">
        <v>169</v>
      </c>
      <c r="I37" s="138" t="str">
        <f>IF(ISTEXT('0_Datos generales organización'!L27),'0_Datos generales organización'!L27,"")</f>
        <v>Unidades</v>
      </c>
      <c r="J37" s="139"/>
      <c r="K37" s="133"/>
      <c r="L37" s="2"/>
      <c r="M37" s="2"/>
      <c r="N37" s="46"/>
      <c r="O37" s="46"/>
      <c r="P37" s="46"/>
      <c r="Q37" s="46"/>
      <c r="R37" s="46"/>
      <c r="S37" s="46"/>
    </row>
    <row r="38" spans="1:21" ht="4.5" customHeight="1" x14ac:dyDescent="0.3">
      <c r="A38" s="47"/>
      <c r="E38" s="509" t="s">
        <v>170</v>
      </c>
      <c r="F38" s="135"/>
      <c r="G38" s="140"/>
      <c r="H38" s="141"/>
      <c r="I38" s="142"/>
      <c r="J38" s="139"/>
      <c r="K38" s="133"/>
      <c r="L38" s="2"/>
      <c r="M38" s="2"/>
      <c r="N38" s="46"/>
      <c r="O38" s="46"/>
      <c r="Q38" s="46"/>
      <c r="R38" s="46"/>
      <c r="S38" s="46"/>
    </row>
    <row r="39" spans="1:21" ht="18" customHeight="1" x14ac:dyDescent="0.3">
      <c r="A39" s="22"/>
      <c r="E39" s="509"/>
      <c r="F39" s="143">
        <f>IF(ISNUMBER(Dades!$G$544),Dades!$G$526,"")</f>
        <v>2020</v>
      </c>
      <c r="G39" s="136" t="str">
        <f>IF(ISNUMBER(Dades!G547),Dades!G547,"")</f>
        <v/>
      </c>
      <c r="H39" s="137" t="s">
        <v>171</v>
      </c>
      <c r="I39" s="144" t="s">
        <v>172</v>
      </c>
      <c r="J39" s="145"/>
      <c r="K39" s="133"/>
      <c r="L39" s="2"/>
      <c r="M39" s="2"/>
      <c r="N39" s="46"/>
      <c r="O39" s="46"/>
      <c r="P39" s="46"/>
      <c r="Q39" s="46"/>
      <c r="R39" s="46"/>
      <c r="S39" s="46"/>
    </row>
    <row r="40" spans="1:21" ht="4.5" customHeight="1" x14ac:dyDescent="0.3">
      <c r="A40" s="22"/>
      <c r="E40" s="509"/>
      <c r="F40" s="146"/>
      <c r="G40" s="147"/>
      <c r="H40" s="148"/>
      <c r="I40" s="149"/>
      <c r="J40" s="150"/>
      <c r="K40" s="133"/>
      <c r="L40" s="2"/>
      <c r="M40" s="2"/>
    </row>
    <row r="41" spans="1:21" ht="18" customHeight="1" x14ac:dyDescent="0.3">
      <c r="A41" s="22"/>
      <c r="E41" s="134"/>
      <c r="F41" s="151"/>
      <c r="G41" s="136" t="str">
        <f>IF(ISNUMBER(Dades!G548),Dades!G548,"")</f>
        <v/>
      </c>
      <c r="H41" s="137" t="s">
        <v>171</v>
      </c>
      <c r="I41" s="138" t="s">
        <v>173</v>
      </c>
      <c r="J41" s="145"/>
      <c r="K41" s="133"/>
      <c r="L41" s="2"/>
      <c r="M41" s="2"/>
    </row>
    <row r="42" spans="1:21" ht="4.5" customHeight="1" x14ac:dyDescent="0.3">
      <c r="A42" s="22"/>
      <c r="E42" s="152"/>
      <c r="F42" s="153"/>
      <c r="G42" s="154"/>
      <c r="H42" s="155"/>
      <c r="I42" s="155"/>
      <c r="J42" s="156"/>
      <c r="K42" s="133"/>
      <c r="L42" s="2"/>
      <c r="M42" s="2"/>
    </row>
    <row r="43" spans="1:21" ht="12.95" customHeight="1" x14ac:dyDescent="0.3">
      <c r="A43" s="22"/>
      <c r="F43" s="157"/>
      <c r="G43" s="158"/>
      <c r="H43" s="133"/>
      <c r="I43" s="133"/>
      <c r="J43" s="133"/>
      <c r="K43" s="133"/>
      <c r="L43" s="41"/>
      <c r="M43" s="41"/>
    </row>
    <row r="44" spans="1:21" ht="4.5" customHeight="1" x14ac:dyDescent="0.3">
      <c r="E44" s="159"/>
      <c r="F44" s="160"/>
      <c r="G44" s="161"/>
      <c r="H44" s="162"/>
      <c r="I44" s="163"/>
      <c r="J44" s="164"/>
      <c r="K44" s="133"/>
      <c r="L44" s="2"/>
      <c r="M44" s="2"/>
    </row>
    <row r="45" spans="1:21" ht="18" customHeight="1" x14ac:dyDescent="0.3">
      <c r="A45" s="26"/>
      <c r="B45" s="26"/>
      <c r="E45" s="165"/>
      <c r="F45" s="166"/>
      <c r="G45" s="198" t="str">
        <f>IF(ISNUMBER(Dades!D546),Dades!D546,"")</f>
        <v/>
      </c>
      <c r="H45" s="199" t="s">
        <v>186</v>
      </c>
      <c r="I45" s="168" t="str">
        <f>IF(ISTEXT(I37),I37,"")</f>
        <v>Unidades</v>
      </c>
      <c r="J45" s="169"/>
      <c r="K45" s="133"/>
      <c r="L45" s="2"/>
      <c r="M45" s="2"/>
    </row>
    <row r="46" spans="1:21" ht="4.5" customHeight="1" x14ac:dyDescent="0.3">
      <c r="A46" s="26"/>
      <c r="B46" s="26"/>
      <c r="E46" s="170"/>
      <c r="F46" s="166"/>
      <c r="G46" s="171"/>
      <c r="H46" s="172"/>
      <c r="I46" s="173"/>
      <c r="J46" s="169"/>
      <c r="K46" s="133"/>
      <c r="L46" s="2"/>
      <c r="M46" s="2"/>
    </row>
    <row r="47" spans="1:21" ht="18" customHeight="1" x14ac:dyDescent="0.3">
      <c r="A47" s="26"/>
      <c r="B47" s="26"/>
      <c r="E47" s="174" t="s">
        <v>175</v>
      </c>
      <c r="F47" s="175" t="str">
        <f>IF(ISNUMBER(Dades!$D$544),Dades!$D$544,"")</f>
        <v/>
      </c>
      <c r="G47" s="136" t="str">
        <f>IF(ISNUMBER(Dades!D547),Dades!D547,"")</f>
        <v/>
      </c>
      <c r="H47" s="199" t="s">
        <v>186</v>
      </c>
      <c r="I47" s="200" t="s">
        <v>187</v>
      </c>
      <c r="J47" s="177"/>
      <c r="K47" s="133"/>
      <c r="L47" s="2"/>
      <c r="M47" s="2"/>
    </row>
    <row r="48" spans="1:21" ht="4.5" customHeight="1" x14ac:dyDescent="0.3">
      <c r="A48" s="26"/>
      <c r="B48" s="26"/>
      <c r="E48" s="178"/>
      <c r="F48" s="179"/>
      <c r="G48" s="180"/>
      <c r="H48" s="167"/>
      <c r="I48" s="173"/>
      <c r="J48" s="169"/>
      <c r="K48" s="133"/>
      <c r="L48" s="2"/>
      <c r="M48" s="2"/>
    </row>
    <row r="49" spans="1:24" ht="18" customHeight="1" x14ac:dyDescent="0.3">
      <c r="A49" s="26"/>
      <c r="B49" s="26"/>
      <c r="E49" s="165"/>
      <c r="F49" s="181"/>
      <c r="G49" s="136" t="str">
        <f>IF(ISNUMBER(Dades!D548),Dades!D548,"")</f>
        <v/>
      </c>
      <c r="H49" s="199" t="s">
        <v>186</v>
      </c>
      <c r="I49" s="168" t="s">
        <v>173</v>
      </c>
      <c r="J49" s="177"/>
      <c r="K49" s="133"/>
      <c r="L49" s="194"/>
      <c r="M49" s="194"/>
      <c r="N49" s="194"/>
      <c r="O49" s="194"/>
      <c r="P49" s="194"/>
      <c r="Q49" s="194"/>
      <c r="R49" s="194"/>
      <c r="S49" s="194"/>
      <c r="T49" s="194"/>
      <c r="U49" s="194"/>
      <c r="V49" s="194"/>
      <c r="W49" s="194"/>
      <c r="X49" s="194"/>
    </row>
    <row r="50" spans="1:24" ht="4.5" customHeight="1" x14ac:dyDescent="0.3">
      <c r="A50" s="26"/>
      <c r="B50" s="26"/>
      <c r="E50" s="182"/>
      <c r="F50" s="183"/>
      <c r="G50" s="184"/>
      <c r="H50" s="185"/>
      <c r="I50" s="185"/>
      <c r="J50" s="186"/>
      <c r="K50" s="133"/>
      <c r="L50" s="194"/>
      <c r="M50" s="194"/>
      <c r="N50" s="194"/>
      <c r="O50" s="194"/>
      <c r="P50" s="194"/>
      <c r="Q50" s="194"/>
      <c r="R50" s="194"/>
      <c r="S50" s="194"/>
      <c r="T50" s="194"/>
      <c r="U50" s="194"/>
      <c r="V50" s="194"/>
      <c r="W50" s="194"/>
      <c r="X50" s="194"/>
    </row>
    <row r="51" spans="1:24" s="73" customFormat="1" ht="12.95" customHeight="1" x14ac:dyDescent="0.3">
      <c r="A51" s="13"/>
      <c r="B51" s="13"/>
      <c r="C51" s="2"/>
      <c r="D51" s="2"/>
      <c r="E51" s="2"/>
      <c r="F51" s="157"/>
      <c r="G51" s="187"/>
      <c r="H51" s="104"/>
      <c r="I51" s="104"/>
      <c r="J51" s="104"/>
      <c r="K51" s="104"/>
      <c r="L51" s="194"/>
      <c r="M51" s="194"/>
      <c r="N51" s="194"/>
      <c r="O51" s="194"/>
      <c r="P51" s="194"/>
      <c r="Q51" s="194"/>
      <c r="R51" s="194"/>
      <c r="S51" s="194"/>
      <c r="T51" s="194"/>
      <c r="U51" s="194"/>
      <c r="V51" s="194"/>
      <c r="W51" s="194"/>
      <c r="X51" s="194"/>
    </row>
    <row r="52" spans="1:24" s="73" customFormat="1" ht="4.5" customHeight="1" x14ac:dyDescent="0.3">
      <c r="A52" s="13"/>
      <c r="B52" s="13"/>
      <c r="C52" s="2"/>
      <c r="D52" s="2"/>
      <c r="E52" s="159"/>
      <c r="F52" s="160"/>
      <c r="G52" s="161"/>
      <c r="H52" s="162"/>
      <c r="I52" s="163"/>
      <c r="J52" s="164"/>
      <c r="K52" s="133"/>
      <c r="L52" s="194"/>
      <c r="M52" s="194"/>
      <c r="N52" s="194"/>
      <c r="O52" s="194"/>
      <c r="P52" s="194"/>
      <c r="Q52" s="194"/>
      <c r="R52" s="194"/>
      <c r="S52" s="194"/>
      <c r="T52" s="194"/>
      <c r="U52" s="194"/>
      <c r="V52" s="194"/>
      <c r="W52" s="194"/>
      <c r="X52" s="194"/>
    </row>
    <row r="53" spans="1:24" s="73" customFormat="1" ht="18" customHeight="1" x14ac:dyDescent="0.3">
      <c r="A53" s="13"/>
      <c r="B53" s="13"/>
      <c r="C53" s="2"/>
      <c r="D53" s="2"/>
      <c r="E53" s="165"/>
      <c r="F53" s="166"/>
      <c r="G53" s="136" t="str">
        <f>IF(ISNUMBER(Dades!E546),Dades!E546,"")</f>
        <v/>
      </c>
      <c r="H53" s="199" t="s">
        <v>186</v>
      </c>
      <c r="I53" s="168" t="str">
        <f>IF(ISTEXT(I37),I37,"")</f>
        <v>Unidades</v>
      </c>
      <c r="J53" s="169"/>
      <c r="K53" s="133"/>
      <c r="L53" s="194"/>
      <c r="M53" s="194"/>
      <c r="N53" s="194"/>
      <c r="O53" s="194"/>
      <c r="P53" s="194"/>
      <c r="Q53" s="194"/>
      <c r="R53" s="194"/>
      <c r="S53" s="194"/>
      <c r="T53" s="194"/>
      <c r="U53" s="194"/>
      <c r="V53" s="194"/>
      <c r="W53" s="194"/>
      <c r="X53" s="194"/>
    </row>
    <row r="54" spans="1:24" s="73" customFormat="1" ht="4.5" customHeight="1" x14ac:dyDescent="0.3">
      <c r="A54" s="13"/>
      <c r="B54" s="13"/>
      <c r="C54" s="2"/>
      <c r="D54" s="2"/>
      <c r="E54" s="170"/>
      <c r="F54" s="166"/>
      <c r="G54" s="171"/>
      <c r="H54" s="172"/>
      <c r="I54" s="173"/>
      <c r="J54" s="169"/>
      <c r="K54" s="133"/>
      <c r="L54" s="194"/>
      <c r="M54" s="194"/>
      <c r="N54" s="194"/>
      <c r="O54" s="194"/>
      <c r="P54" s="194"/>
      <c r="Q54" s="194"/>
      <c r="R54" s="194"/>
      <c r="S54" s="194"/>
      <c r="T54" s="194"/>
      <c r="U54" s="194"/>
      <c r="V54" s="194"/>
      <c r="W54" s="194"/>
      <c r="X54" s="194"/>
    </row>
    <row r="55" spans="1:24" s="73" customFormat="1" ht="18" customHeight="1" x14ac:dyDescent="0.3">
      <c r="A55" s="13"/>
      <c r="B55" s="13"/>
      <c r="C55" s="2"/>
      <c r="D55" s="2"/>
      <c r="E55" s="174" t="s">
        <v>177</v>
      </c>
      <c r="F55" s="175" t="str">
        <f>IF(ISNUMBER(Dades!E544),Dades!E544,"")</f>
        <v/>
      </c>
      <c r="G55" s="136" t="str">
        <f>IF(ISNUMBER(Dades!E547),Dades!E547,"")</f>
        <v/>
      </c>
      <c r="H55" s="199" t="s">
        <v>186</v>
      </c>
      <c r="I55" s="200" t="s">
        <v>187</v>
      </c>
      <c r="J55" s="177"/>
      <c r="K55" s="133"/>
      <c r="L55" s="194"/>
      <c r="M55" s="194"/>
      <c r="N55" s="194"/>
      <c r="O55" s="194"/>
      <c r="P55" s="194"/>
      <c r="Q55" s="194"/>
      <c r="R55" s="194"/>
      <c r="S55" s="194"/>
      <c r="T55" s="194"/>
      <c r="U55" s="194"/>
      <c r="V55" s="194"/>
      <c r="W55" s="194"/>
      <c r="X55" s="194"/>
    </row>
    <row r="56" spans="1:24" s="73" customFormat="1" ht="4.5" customHeight="1" x14ac:dyDescent="0.3">
      <c r="A56" s="13"/>
      <c r="B56" s="13"/>
      <c r="C56" s="2"/>
      <c r="D56" s="2"/>
      <c r="E56" s="178"/>
      <c r="F56" s="179"/>
      <c r="G56" s="180"/>
      <c r="H56" s="167"/>
      <c r="I56" s="173"/>
      <c r="J56" s="169"/>
      <c r="K56" s="133"/>
      <c r="L56" s="194"/>
      <c r="M56" s="194"/>
      <c r="N56" s="194"/>
      <c r="O56" s="194"/>
      <c r="P56" s="194"/>
      <c r="Q56" s="194"/>
      <c r="R56" s="194"/>
      <c r="S56" s="194"/>
      <c r="T56" s="194"/>
      <c r="U56" s="194"/>
      <c r="V56" s="194"/>
      <c r="W56" s="194"/>
      <c r="X56" s="194"/>
    </row>
    <row r="57" spans="1:24" s="73" customFormat="1" ht="18" customHeight="1" x14ac:dyDescent="0.3">
      <c r="A57" s="13"/>
      <c r="B57" s="13"/>
      <c r="C57" s="2"/>
      <c r="D57" s="2"/>
      <c r="E57" s="165"/>
      <c r="F57" s="181"/>
      <c r="G57" s="136" t="str">
        <f>IF(ISNUMBER(Dades!E548),Dades!E548,"")</f>
        <v/>
      </c>
      <c r="H57" s="199" t="s">
        <v>186</v>
      </c>
      <c r="I57" s="168" t="s">
        <v>173</v>
      </c>
      <c r="J57" s="177"/>
      <c r="K57" s="133"/>
      <c r="L57" s="194"/>
      <c r="M57" s="194"/>
      <c r="N57" s="194"/>
      <c r="O57" s="194"/>
      <c r="P57" s="194"/>
      <c r="Q57" s="194"/>
      <c r="R57" s="194"/>
      <c r="S57" s="194"/>
      <c r="T57" s="194"/>
      <c r="U57" s="194"/>
      <c r="V57" s="194"/>
      <c r="W57" s="194"/>
      <c r="X57" s="194"/>
    </row>
    <row r="58" spans="1:24" s="73" customFormat="1" ht="4.5" customHeight="1" x14ac:dyDescent="0.3">
      <c r="A58" s="13"/>
      <c r="B58" s="13"/>
      <c r="C58" s="2"/>
      <c r="D58" s="2"/>
      <c r="E58" s="182"/>
      <c r="F58" s="183"/>
      <c r="G58" s="184"/>
      <c r="H58" s="185"/>
      <c r="I58" s="185"/>
      <c r="J58" s="186"/>
      <c r="K58" s="133"/>
      <c r="L58" s="194"/>
      <c r="M58" s="194"/>
      <c r="N58" s="194"/>
      <c r="O58" s="194"/>
      <c r="P58" s="194"/>
      <c r="Q58" s="194"/>
      <c r="R58" s="194"/>
      <c r="S58" s="194"/>
      <c r="T58" s="194"/>
      <c r="U58" s="194"/>
      <c r="V58" s="194"/>
      <c r="W58" s="194"/>
      <c r="X58" s="194"/>
    </row>
    <row r="59" spans="1:24" s="73" customFormat="1" ht="12.95" customHeight="1" x14ac:dyDescent="0.3">
      <c r="A59" s="13"/>
      <c r="B59" s="13"/>
      <c r="C59" s="2"/>
      <c r="D59" s="2"/>
      <c r="E59" s="2"/>
      <c r="F59" s="157"/>
      <c r="G59" s="187"/>
      <c r="H59" s="104"/>
      <c r="I59" s="104"/>
      <c r="J59" s="104"/>
      <c r="K59" s="104"/>
      <c r="L59" s="194"/>
      <c r="M59" s="194"/>
      <c r="N59" s="194"/>
      <c r="O59" s="194"/>
      <c r="P59" s="194"/>
      <c r="Q59" s="194"/>
      <c r="R59" s="194"/>
      <c r="S59" s="194"/>
      <c r="T59" s="194"/>
      <c r="U59" s="194"/>
      <c r="V59" s="194"/>
      <c r="W59" s="194"/>
      <c r="X59" s="194"/>
    </row>
    <row r="60" spans="1:24" s="73" customFormat="1" ht="4.5" customHeight="1" x14ac:dyDescent="0.3">
      <c r="A60" s="13"/>
      <c r="B60" s="13"/>
      <c r="C60" s="2"/>
      <c r="D60" s="2"/>
      <c r="E60" s="159"/>
      <c r="F60" s="160"/>
      <c r="G60" s="161"/>
      <c r="H60" s="162"/>
      <c r="I60" s="163"/>
      <c r="J60" s="164"/>
      <c r="K60" s="133"/>
      <c r="L60" s="194"/>
      <c r="M60" s="194"/>
      <c r="N60" s="194"/>
      <c r="O60" s="194"/>
      <c r="P60" s="194"/>
      <c r="Q60" s="194"/>
      <c r="R60" s="194"/>
      <c r="S60" s="194"/>
      <c r="T60" s="194"/>
      <c r="U60" s="194"/>
      <c r="V60" s="194"/>
      <c r="W60" s="194"/>
      <c r="X60" s="194"/>
    </row>
    <row r="61" spans="1:24" s="73" customFormat="1" ht="18" customHeight="1" x14ac:dyDescent="0.3">
      <c r="A61" s="13"/>
      <c r="B61" s="13"/>
      <c r="C61" s="2"/>
      <c r="D61" s="2"/>
      <c r="E61" s="165"/>
      <c r="F61" s="166"/>
      <c r="G61" s="136" t="str">
        <f>IF(ISNUMBER(Dades!F546),Dades!F546,"")</f>
        <v/>
      </c>
      <c r="H61" s="199" t="s">
        <v>186</v>
      </c>
      <c r="I61" s="168" t="str">
        <f>IF(ISTEXT(I37),I37,"")</f>
        <v>Unidades</v>
      </c>
      <c r="J61" s="169"/>
      <c r="K61" s="133"/>
      <c r="L61" s="194"/>
      <c r="M61" s="194"/>
      <c r="N61" s="194"/>
      <c r="O61" s="194"/>
      <c r="P61" s="194"/>
      <c r="Q61" s="194"/>
      <c r="R61" s="194"/>
      <c r="S61" s="194"/>
      <c r="T61" s="194"/>
      <c r="U61" s="194"/>
      <c r="V61" s="194"/>
      <c r="W61" s="194"/>
      <c r="X61" s="194"/>
    </row>
    <row r="62" spans="1:24" s="73" customFormat="1" ht="4.5" customHeight="1" x14ac:dyDescent="0.3">
      <c r="A62" s="13"/>
      <c r="B62" s="13"/>
      <c r="C62" s="2"/>
      <c r="D62" s="2"/>
      <c r="E62" s="170"/>
      <c r="F62" s="166"/>
      <c r="G62" s="171"/>
      <c r="H62" s="172"/>
      <c r="I62" s="173"/>
      <c r="J62" s="169"/>
      <c r="K62" s="133"/>
      <c r="L62" s="194"/>
      <c r="M62" s="194"/>
      <c r="N62" s="194"/>
      <c r="O62" s="194"/>
      <c r="P62" s="194"/>
      <c r="Q62" s="194"/>
      <c r="R62" s="194"/>
      <c r="S62" s="194"/>
      <c r="T62" s="194"/>
      <c r="U62" s="194"/>
      <c r="V62" s="194"/>
      <c r="W62" s="194"/>
      <c r="X62" s="194"/>
    </row>
    <row r="63" spans="1:24" s="73" customFormat="1" ht="18" customHeight="1" x14ac:dyDescent="0.3">
      <c r="A63" s="13"/>
      <c r="B63" s="13"/>
      <c r="C63" s="2"/>
      <c r="D63" s="2"/>
      <c r="E63" s="174" t="s">
        <v>178</v>
      </c>
      <c r="F63" s="175" t="str">
        <f>IF(ISNUMBER(Dades!$F$526),Dades!$F$526,"")</f>
        <v/>
      </c>
      <c r="G63" s="136" t="str">
        <f>IF(ISNUMBER(Dades!F547),Dades!F547,"")</f>
        <v/>
      </c>
      <c r="H63" s="199" t="s">
        <v>186</v>
      </c>
      <c r="I63" s="200" t="s">
        <v>187</v>
      </c>
      <c r="J63" s="177"/>
      <c r="K63" s="133"/>
      <c r="L63" s="194"/>
      <c r="M63" s="194"/>
      <c r="N63" s="194"/>
      <c r="O63" s="194"/>
      <c r="P63" s="194"/>
      <c r="Q63" s="194"/>
      <c r="R63" s="194"/>
      <c r="S63" s="194"/>
      <c r="T63" s="194"/>
      <c r="U63" s="194"/>
      <c r="V63" s="194"/>
      <c r="W63" s="194"/>
      <c r="X63" s="194"/>
    </row>
    <row r="64" spans="1:24" s="73" customFormat="1" ht="4.5" customHeight="1" x14ac:dyDescent="0.3">
      <c r="A64" s="13"/>
      <c r="B64" s="13"/>
      <c r="C64" s="2"/>
      <c r="D64" s="2"/>
      <c r="E64" s="178"/>
      <c r="F64" s="179"/>
      <c r="G64" s="180"/>
      <c r="H64" s="167"/>
      <c r="I64" s="173"/>
      <c r="J64" s="169"/>
      <c r="K64" s="133"/>
      <c r="L64" s="194"/>
      <c r="M64" s="194"/>
      <c r="N64" s="194"/>
      <c r="O64" s="194"/>
      <c r="P64" s="194"/>
      <c r="Q64" s="194"/>
      <c r="R64" s="194"/>
      <c r="S64" s="194"/>
      <c r="T64" s="194"/>
      <c r="U64" s="194"/>
      <c r="V64" s="194"/>
      <c r="W64" s="194"/>
      <c r="X64" s="194"/>
    </row>
    <row r="65" spans="1:24" s="73" customFormat="1" ht="18" customHeight="1" x14ac:dyDescent="0.3">
      <c r="A65" s="13"/>
      <c r="B65" s="13"/>
      <c r="C65" s="2"/>
      <c r="D65" s="2"/>
      <c r="E65" s="165"/>
      <c r="F65" s="181"/>
      <c r="G65" s="136" t="str">
        <f>IF(ISNUMBER(Dades!F548),Dades!F548,"")</f>
        <v/>
      </c>
      <c r="H65" s="199" t="s">
        <v>186</v>
      </c>
      <c r="I65" s="168" t="s">
        <v>173</v>
      </c>
      <c r="J65" s="177"/>
      <c r="K65" s="133"/>
      <c r="L65" s="194"/>
      <c r="M65" s="194"/>
      <c r="N65" s="194"/>
      <c r="O65" s="530"/>
      <c r="P65" s="531"/>
      <c r="Q65" s="530"/>
      <c r="R65" s="194"/>
      <c r="S65" s="194"/>
      <c r="T65" s="194"/>
      <c r="U65" s="194"/>
      <c r="V65" s="194"/>
      <c r="W65" s="194"/>
      <c r="X65" s="194"/>
    </row>
    <row r="66" spans="1:24" s="73" customFormat="1" ht="4.5" customHeight="1" x14ac:dyDescent="0.3">
      <c r="A66" s="13"/>
      <c r="B66" s="13"/>
      <c r="C66" s="2"/>
      <c r="D66" s="2"/>
      <c r="E66" s="182"/>
      <c r="F66" s="183"/>
      <c r="G66" s="184"/>
      <c r="H66" s="185"/>
      <c r="I66" s="185"/>
      <c r="J66" s="186"/>
      <c r="K66" s="133"/>
      <c r="L66" s="194"/>
      <c r="M66" s="194"/>
      <c r="N66" s="194"/>
      <c r="O66" s="530"/>
      <c r="P66" s="531"/>
      <c r="Q66" s="530"/>
      <c r="R66" s="194"/>
      <c r="S66" s="194"/>
      <c r="T66" s="194"/>
      <c r="U66" s="194"/>
      <c r="V66" s="194"/>
      <c r="W66" s="194"/>
      <c r="X66" s="194"/>
    </row>
    <row r="67" spans="1:24" s="73" customFormat="1" ht="8.25" customHeight="1" x14ac:dyDescent="0.3">
      <c r="A67" s="13"/>
      <c r="B67" s="13"/>
      <c r="C67" s="2"/>
      <c r="D67" s="2"/>
      <c r="E67" s="2"/>
      <c r="F67" s="2"/>
      <c r="G67" s="104"/>
      <c r="H67" s="104"/>
      <c r="I67" s="104"/>
      <c r="J67" s="104"/>
      <c r="K67" s="104"/>
      <c r="L67" s="194"/>
      <c r="M67" s="194"/>
      <c r="N67" s="194"/>
      <c r="O67" s="194"/>
      <c r="P67" s="194"/>
      <c r="Q67" s="194"/>
      <c r="R67" s="194"/>
      <c r="S67" s="194"/>
      <c r="T67" s="194"/>
      <c r="U67" s="194"/>
      <c r="V67" s="194"/>
      <c r="W67" s="194"/>
      <c r="X67" s="194"/>
    </row>
    <row r="68" spans="1:24" x14ac:dyDescent="0.3">
      <c r="D68" s="469" t="s">
        <v>179</v>
      </c>
      <c r="E68" s="469"/>
      <c r="F68" s="469"/>
      <c r="G68" s="469"/>
      <c r="H68" s="469"/>
      <c r="I68" s="469"/>
      <c r="J68" s="469"/>
      <c r="K68" s="469"/>
      <c r="L68" s="469"/>
      <c r="M68" s="469"/>
      <c r="N68" s="469"/>
      <c r="O68" s="469"/>
      <c r="P68" s="469"/>
      <c r="Q68" s="469"/>
      <c r="R68" s="469"/>
      <c r="S68" s="469"/>
      <c r="T68" s="469"/>
      <c r="U68" s="469"/>
    </row>
    <row r="69" spans="1:24" s="73" customFormat="1" ht="17.25" customHeight="1" x14ac:dyDescent="0.3">
      <c r="A69" s="13"/>
      <c r="B69" s="13"/>
      <c r="C69" s="2"/>
      <c r="D69" s="192" t="s">
        <v>998</v>
      </c>
      <c r="E69" s="193"/>
      <c r="F69" s="2"/>
      <c r="G69" s="104"/>
      <c r="H69" s="104"/>
      <c r="I69" s="104"/>
      <c r="J69" s="104"/>
      <c r="K69" s="104"/>
      <c r="L69" s="2"/>
      <c r="M69" s="2"/>
      <c r="N69" s="2"/>
      <c r="O69" s="2"/>
      <c r="P69" s="2"/>
      <c r="Q69" s="2"/>
      <c r="R69" s="2"/>
      <c r="S69" s="2"/>
      <c r="T69" s="2"/>
      <c r="U69" s="2"/>
    </row>
    <row r="70" spans="1:24" x14ac:dyDescent="0.3">
      <c r="E70" s="194"/>
      <c r="F70" s="194"/>
      <c r="G70" s="133"/>
      <c r="H70" s="133"/>
      <c r="I70" s="133"/>
      <c r="J70" s="133"/>
      <c r="K70" s="133"/>
      <c r="L70" s="133"/>
      <c r="M70" s="133"/>
      <c r="N70" s="194"/>
      <c r="O70" s="194"/>
      <c r="P70" s="194"/>
      <c r="Q70" s="194"/>
      <c r="R70" s="194"/>
      <c r="S70" s="194"/>
      <c r="T70" s="194"/>
      <c r="U70" s="194"/>
      <c r="V70" s="194"/>
    </row>
    <row r="71" spans="1:24" ht="35.25" customHeight="1" x14ac:dyDescent="0.3">
      <c r="E71" s="396" t="s">
        <v>65</v>
      </c>
      <c r="F71" s="195" t="s">
        <v>159</v>
      </c>
      <c r="G71" s="195" t="s">
        <v>1020</v>
      </c>
      <c r="H71" s="505" t="s">
        <v>180</v>
      </c>
      <c r="I71" s="505"/>
      <c r="J71" s="506" t="s">
        <v>153</v>
      </c>
      <c r="K71" s="506"/>
      <c r="L71" s="506"/>
      <c r="M71" s="506"/>
      <c r="N71" s="507" t="s">
        <v>1021</v>
      </c>
      <c r="O71" s="507"/>
      <c r="P71" s="506" t="s">
        <v>156</v>
      </c>
      <c r="Q71" s="506"/>
      <c r="R71" s="506"/>
      <c r="S71" s="194"/>
      <c r="T71" s="194"/>
      <c r="U71" s="194"/>
      <c r="V71" s="194"/>
    </row>
    <row r="72" spans="1:24" x14ac:dyDescent="0.3">
      <c r="E72" s="195" t="str">
        <f>IF(Dades!C662="","",Dades!C662)</f>
        <v/>
      </c>
      <c r="F72" s="397">
        <f>DSUM('1_Combustibles fósiles'!$E$17:$N$39,"emisiones",'6.2_Resultados España'!E71:E72)/1000</f>
        <v>0</v>
      </c>
      <c r="G72" s="397">
        <f>DSUM('2_Fluorados'!$E$11:$P$33,"emisiones",'6.2_Resultados España'!E71:E72)/1000</f>
        <v>0</v>
      </c>
      <c r="H72" s="503">
        <f>DSUM('3_Emisiones proceso'!$E$13:$L$35,"emisiones",'6.2_Resultados España'!E71:E72)/1000</f>
        <v>0</v>
      </c>
      <c r="I72" s="503"/>
      <c r="J72" s="504">
        <f>SUM(F72:I72)</f>
        <v>0</v>
      </c>
      <c r="K72" s="504"/>
      <c r="L72" s="504"/>
      <c r="M72" s="504"/>
      <c r="N72" s="503">
        <f>DSUM('4.2_Electricidad España'!$E$19:$J$41,"emisiones",'6.2_Resultados España'!E71:E72)/1000</f>
        <v>0</v>
      </c>
      <c r="O72" s="504"/>
      <c r="P72" s="504">
        <f>J72+N72</f>
        <v>0</v>
      </c>
      <c r="Q72" s="504"/>
      <c r="R72" s="504"/>
    </row>
    <row r="73" spans="1:24" x14ac:dyDescent="0.3">
      <c r="E73" s="195" t="str">
        <f>IF(Dades!C663="","",Dades!C663)</f>
        <v/>
      </c>
      <c r="F73" s="397">
        <f>(DSUM('1_Combustibles fósiles'!$E$17:$N$39,"emisiones",'6.2_Resultados España'!E$71:E73)/1000)-SUM(F$72:F72)</f>
        <v>0</v>
      </c>
      <c r="G73" s="397">
        <f>(DSUM('2_Fluorados'!$E$11:$P$33,"emisiones",'6.2_Resultados España'!E$71:E73)/1000)-SUM(G$72:G72)</f>
        <v>0</v>
      </c>
      <c r="H73" s="503">
        <f>(DSUM('3_Emisiones proceso'!$E$13:$L$35,"emisiones",'6.2_Resultados España'!E$71:E73)/1000)-SUM(H$72:H72)</f>
        <v>0</v>
      </c>
      <c r="I73" s="503"/>
      <c r="J73" s="504">
        <f t="shared" ref="J73" si="0">SUM(F73:I73)</f>
        <v>0</v>
      </c>
      <c r="K73" s="504"/>
      <c r="L73" s="504"/>
      <c r="M73" s="504"/>
      <c r="N73" s="503">
        <f>(DSUM('4.2_Electricidad España'!$E$19:$J$41,"emisiones",'6.2_Resultados España'!E$71:E73)/1000)-SUM(N$72:N72)</f>
        <v>0</v>
      </c>
      <c r="O73" s="504"/>
      <c r="P73" s="504">
        <f t="shared" ref="P73" si="1">J73+N73</f>
        <v>0</v>
      </c>
      <c r="Q73" s="504"/>
      <c r="R73" s="504"/>
    </row>
    <row r="74" spans="1:24" x14ac:dyDescent="0.3">
      <c r="E74" s="195" t="str">
        <f>IF(Dades!C664="","",Dades!C664)</f>
        <v/>
      </c>
      <c r="F74" s="397">
        <f>(DSUM('1_Combustibles fósiles'!$E$17:$N$39,"emisiones",'6.2_Resultados España'!E$71:E74)/1000)-SUM(F$72:F73)</f>
        <v>0</v>
      </c>
      <c r="G74" s="397">
        <f>(DSUM('2_Fluorados'!$E$11:$P$33,"emisiones",'6.2_Resultados España'!E$71:E74)/1000)-SUM(G$72:G73)</f>
        <v>0</v>
      </c>
      <c r="H74" s="503">
        <f>(DSUM('3_Emisiones proceso'!$E$13:$L$35,"emisiones",'6.2_Resultados España'!E$71:E74)/1000)-SUM(H$72:H73)</f>
        <v>0</v>
      </c>
      <c r="I74" s="503"/>
      <c r="J74" s="504">
        <f t="shared" ref="J74:J137" si="2">SUM(F74:I74)</f>
        <v>0</v>
      </c>
      <c r="K74" s="504"/>
      <c r="L74" s="504"/>
      <c r="M74" s="504"/>
      <c r="N74" s="503">
        <f>(DSUM('4.2_Electricidad España'!$E$19:$J$41,"emisiones",'6.2_Resultados España'!E$71:E74)/1000)-SUM(N$72:N73)</f>
        <v>0</v>
      </c>
      <c r="O74" s="503"/>
      <c r="P74" s="504">
        <f t="shared" ref="P74:P137" si="3">J74+N74</f>
        <v>0</v>
      </c>
      <c r="Q74" s="504"/>
      <c r="R74" s="504"/>
    </row>
    <row r="75" spans="1:24" x14ac:dyDescent="0.3">
      <c r="E75" s="195" t="str">
        <f>IF(Dades!C665="","",Dades!C665)</f>
        <v/>
      </c>
      <c r="F75" s="397">
        <f>(DSUM('1_Combustibles fósiles'!$E$17:$N$39,"emisiones",'6.2_Resultados España'!E$71:E75)/1000)-SUM(F$72:F74)</f>
        <v>0</v>
      </c>
      <c r="G75" s="397">
        <f>(DSUM('2_Fluorados'!$E$11:$P$33,"emisiones",'6.2_Resultados España'!E$71:E75)/1000)-SUM(G$72:G74)</f>
        <v>0</v>
      </c>
      <c r="H75" s="503">
        <f>(DSUM('3_Emisiones proceso'!$E$13:$L$35,"emisiones",'6.2_Resultados España'!E$71:E75)/1000)-SUM(H$72:H74)</f>
        <v>0</v>
      </c>
      <c r="I75" s="503"/>
      <c r="J75" s="504">
        <f t="shared" si="2"/>
        <v>0</v>
      </c>
      <c r="K75" s="504"/>
      <c r="L75" s="504"/>
      <c r="M75" s="504"/>
      <c r="N75" s="503">
        <f>(DSUM('4.2_Electricidad España'!$E$19:$J$41,"emisiones",'6.2_Resultados España'!E$71:E75)/1000)-SUM(N$72:N74)</f>
        <v>0</v>
      </c>
      <c r="O75" s="503"/>
      <c r="P75" s="504">
        <f t="shared" si="3"/>
        <v>0</v>
      </c>
      <c r="Q75" s="504"/>
      <c r="R75" s="504"/>
    </row>
    <row r="76" spans="1:24" x14ac:dyDescent="0.3">
      <c r="E76" s="195" t="str">
        <f>IF(Dades!C666="","",Dades!C666)</f>
        <v/>
      </c>
      <c r="F76" s="397">
        <f>(DSUM('1_Combustibles fósiles'!$E$17:$N$39,"emisiones",'6.2_Resultados España'!E$71:E76)/1000)-SUM(F$72:F75)</f>
        <v>0</v>
      </c>
      <c r="G76" s="397">
        <f>(DSUM('2_Fluorados'!$E$11:$P$33,"emisiones",'6.2_Resultados España'!E$71:E76)/1000)-SUM(G$72:G75)</f>
        <v>0</v>
      </c>
      <c r="H76" s="503">
        <f>(DSUM('3_Emisiones proceso'!$E$13:$L$35,"emisiones",'6.2_Resultados España'!E$71:E76)/1000)-SUM(H$72:H75)</f>
        <v>0</v>
      </c>
      <c r="I76" s="503"/>
      <c r="J76" s="504">
        <f t="shared" si="2"/>
        <v>0</v>
      </c>
      <c r="K76" s="504"/>
      <c r="L76" s="504"/>
      <c r="M76" s="504"/>
      <c r="N76" s="503">
        <f>(DSUM('4.2_Electricidad España'!$E$19:$J$41,"emisiones",'6.2_Resultados España'!E$71:E76)/1000)-SUM(N$72:N75)</f>
        <v>0</v>
      </c>
      <c r="O76" s="503"/>
      <c r="P76" s="504">
        <f t="shared" si="3"/>
        <v>0</v>
      </c>
      <c r="Q76" s="504"/>
      <c r="R76" s="504"/>
    </row>
    <row r="77" spans="1:24" x14ac:dyDescent="0.3">
      <c r="E77" s="195" t="str">
        <f>IF(Dades!C667="","",Dades!C667)</f>
        <v/>
      </c>
      <c r="F77" s="397">
        <f>(DSUM('1_Combustibles fósiles'!$E$17:$N$39,"emisiones",'6.2_Resultados España'!E$71:E77)/1000)-SUM(F$72:F76)</f>
        <v>0</v>
      </c>
      <c r="G77" s="397">
        <f>(DSUM('2_Fluorados'!$E$11:$P$33,"emisiones",'6.2_Resultados España'!E$71:E77)/1000)-SUM(G$72:G76)</f>
        <v>0</v>
      </c>
      <c r="H77" s="503">
        <f>(DSUM('3_Emisiones proceso'!$E$13:$L$35,"emisiones",'6.2_Resultados España'!E$71:E77)/1000)-SUM(H$72:H76)</f>
        <v>0</v>
      </c>
      <c r="I77" s="503"/>
      <c r="J77" s="504">
        <f t="shared" si="2"/>
        <v>0</v>
      </c>
      <c r="K77" s="504"/>
      <c r="L77" s="504"/>
      <c r="M77" s="504"/>
      <c r="N77" s="503">
        <f>(DSUM('4.2_Electricidad España'!$E$19:$J$41,"emisiones",'6.2_Resultados España'!E$71:E77)/1000)-SUM(N$72:N76)</f>
        <v>0</v>
      </c>
      <c r="O77" s="503"/>
      <c r="P77" s="504">
        <f t="shared" si="3"/>
        <v>0</v>
      </c>
      <c r="Q77" s="504"/>
      <c r="R77" s="504"/>
    </row>
    <row r="78" spans="1:24" x14ac:dyDescent="0.3">
      <c r="E78" s="195" t="str">
        <f>IF(Dades!C668="","",Dades!C668)</f>
        <v/>
      </c>
      <c r="F78" s="397">
        <f>(DSUM('1_Combustibles fósiles'!$E$17:$N$39,"emisiones",'6.2_Resultados España'!E$71:E78)/1000)-SUM(F$72:F77)</f>
        <v>0</v>
      </c>
      <c r="G78" s="397">
        <f>(DSUM('2_Fluorados'!$E$11:$P$33,"emisiones",'6.2_Resultados España'!E$71:E78)/1000)-SUM(G$72:G77)</f>
        <v>0</v>
      </c>
      <c r="H78" s="503">
        <f>(DSUM('3_Emisiones proceso'!$E$13:$L$35,"emisiones",'6.2_Resultados España'!E$71:E78)/1000)-SUM(H$72:H77)</f>
        <v>0</v>
      </c>
      <c r="I78" s="503"/>
      <c r="J78" s="504">
        <f t="shared" si="2"/>
        <v>0</v>
      </c>
      <c r="K78" s="504"/>
      <c r="L78" s="504"/>
      <c r="M78" s="504"/>
      <c r="N78" s="503">
        <f>(DSUM('4.2_Electricidad España'!$E$19:$J$41,"emisiones",'6.2_Resultados España'!E$71:E78)/1000)-SUM(N$72:N77)</f>
        <v>0</v>
      </c>
      <c r="O78" s="503"/>
      <c r="P78" s="504">
        <f t="shared" si="3"/>
        <v>0</v>
      </c>
      <c r="Q78" s="504"/>
      <c r="R78" s="504"/>
    </row>
    <row r="79" spans="1:24" x14ac:dyDescent="0.3">
      <c r="E79" s="195" t="str">
        <f>IF(Dades!C669="","",Dades!C669)</f>
        <v/>
      </c>
      <c r="F79" s="397">
        <f>(DSUM('1_Combustibles fósiles'!$E$17:$N$39,"emisiones",'6.2_Resultados España'!E$71:E79)/1000)-SUM(F$72:F78)</f>
        <v>0</v>
      </c>
      <c r="G79" s="397">
        <f>(DSUM('2_Fluorados'!$E$11:$P$33,"emisiones",'6.2_Resultados España'!E$71:E79)/1000)-SUM(G$72:G78)</f>
        <v>0</v>
      </c>
      <c r="H79" s="503">
        <f>(DSUM('3_Emisiones proceso'!$E$13:$L$35,"emisiones",'6.2_Resultados España'!E$71:E79)/1000)-SUM(H$72:H78)</f>
        <v>0</v>
      </c>
      <c r="I79" s="503"/>
      <c r="J79" s="504">
        <f t="shared" si="2"/>
        <v>0</v>
      </c>
      <c r="K79" s="504"/>
      <c r="L79" s="504"/>
      <c r="M79" s="504"/>
      <c r="N79" s="503">
        <f>(DSUM('4.2_Electricidad España'!$E$19:$J$41,"emisiones",'6.2_Resultados España'!E$71:E79)/1000)-SUM(N$72:N78)</f>
        <v>0</v>
      </c>
      <c r="O79" s="503"/>
      <c r="P79" s="504">
        <f t="shared" si="3"/>
        <v>0</v>
      </c>
      <c r="Q79" s="504"/>
      <c r="R79" s="504"/>
    </row>
    <row r="80" spans="1:24" x14ac:dyDescent="0.3">
      <c r="E80" s="195" t="str">
        <f>IF(Dades!C670="","",Dades!C670)</f>
        <v/>
      </c>
      <c r="F80" s="397">
        <f>(DSUM('1_Combustibles fósiles'!$E$17:$N$39,"emisiones",'6.2_Resultados España'!E$71:E80)/1000)-SUM(F$72:F79)</f>
        <v>0</v>
      </c>
      <c r="G80" s="397">
        <f>(DSUM('2_Fluorados'!$E$11:$P$33,"emisiones",'6.2_Resultados España'!E$71:E80)/1000)-SUM(G$72:G79)</f>
        <v>0</v>
      </c>
      <c r="H80" s="503">
        <f>(DSUM('3_Emisiones proceso'!$E$13:$L$35,"emisiones",'6.2_Resultados España'!E$71:E80)/1000)-SUM(H$72:H79)</f>
        <v>0</v>
      </c>
      <c r="I80" s="503"/>
      <c r="J80" s="504">
        <f t="shared" si="2"/>
        <v>0</v>
      </c>
      <c r="K80" s="504"/>
      <c r="L80" s="504"/>
      <c r="M80" s="504"/>
      <c r="N80" s="503">
        <f>(DSUM('4.2_Electricidad España'!$E$19:$J$41,"emisiones",'6.2_Resultados España'!E$71:E80)/1000)-SUM(N$72:N79)</f>
        <v>0</v>
      </c>
      <c r="O80" s="503"/>
      <c r="P80" s="504">
        <f t="shared" si="3"/>
        <v>0</v>
      </c>
      <c r="Q80" s="504"/>
      <c r="R80" s="504"/>
    </row>
    <row r="81" spans="5:18" x14ac:dyDescent="0.3">
      <c r="E81" s="195" t="str">
        <f>IF(Dades!C671="","",Dades!C671)</f>
        <v/>
      </c>
      <c r="F81" s="397">
        <f>(DSUM('1_Combustibles fósiles'!$E$17:$N$39,"emisiones",'6.2_Resultados España'!E$71:E81)/1000)-SUM(F$72:F80)</f>
        <v>0</v>
      </c>
      <c r="G81" s="397">
        <f>(DSUM('2_Fluorados'!$E$11:$P$33,"emisiones",'6.2_Resultados España'!E$71:E81)/1000)-SUM(G$72:G80)</f>
        <v>0</v>
      </c>
      <c r="H81" s="503">
        <f>(DSUM('3_Emisiones proceso'!$E$13:$L$35,"emisiones",'6.2_Resultados España'!E$71:E81)/1000)-SUM(H$72:H80)</f>
        <v>0</v>
      </c>
      <c r="I81" s="503"/>
      <c r="J81" s="504">
        <f t="shared" si="2"/>
        <v>0</v>
      </c>
      <c r="K81" s="504"/>
      <c r="L81" s="504"/>
      <c r="M81" s="504"/>
      <c r="N81" s="503">
        <f>(DSUM('4.2_Electricidad España'!$E$19:$J$41,"emisiones",'6.2_Resultados España'!E$71:E81)/1000)-SUM(N$72:N80)</f>
        <v>0</v>
      </c>
      <c r="O81" s="503"/>
      <c r="P81" s="504">
        <f t="shared" si="3"/>
        <v>0</v>
      </c>
      <c r="Q81" s="504"/>
      <c r="R81" s="504"/>
    </row>
    <row r="82" spans="5:18" x14ac:dyDescent="0.3">
      <c r="E82" s="195" t="str">
        <f>IF(Dades!C672="","",Dades!C672)</f>
        <v/>
      </c>
      <c r="F82" s="397">
        <f>(DSUM('1_Combustibles fósiles'!$E$17:$N$39,"emisiones",'6.2_Resultados España'!E$71:E82)/1000)-SUM(F$72:F81)</f>
        <v>0</v>
      </c>
      <c r="G82" s="397">
        <f>(DSUM('2_Fluorados'!$E$11:$P$33,"emisiones",'6.2_Resultados España'!E$71:E82)/1000)-SUM(G$72:G81)</f>
        <v>0</v>
      </c>
      <c r="H82" s="503">
        <f>(DSUM('3_Emisiones proceso'!$E$13:$L$35,"emisiones",'6.2_Resultados España'!E$71:E82)/1000)-SUM(H$72:H81)</f>
        <v>0</v>
      </c>
      <c r="I82" s="503"/>
      <c r="J82" s="504">
        <f t="shared" si="2"/>
        <v>0</v>
      </c>
      <c r="K82" s="504"/>
      <c r="L82" s="504"/>
      <c r="M82" s="504"/>
      <c r="N82" s="503">
        <f>(DSUM('4.2_Electricidad España'!$E$19:$J$41,"emisiones",'6.2_Resultados España'!E$71:E82)/1000)-SUM(N$72:N81)</f>
        <v>0</v>
      </c>
      <c r="O82" s="503"/>
      <c r="P82" s="504">
        <f t="shared" si="3"/>
        <v>0</v>
      </c>
      <c r="Q82" s="504"/>
      <c r="R82" s="504"/>
    </row>
    <row r="83" spans="5:18" x14ac:dyDescent="0.3">
      <c r="E83" s="195" t="str">
        <f>IF(Dades!C673="","",Dades!C673)</f>
        <v/>
      </c>
      <c r="F83" s="397">
        <f>(DSUM('1_Combustibles fósiles'!$E$17:$N$39,"emisiones",'6.2_Resultados España'!E$71:E83)/1000)-SUM(F$72:F82)</f>
        <v>0</v>
      </c>
      <c r="G83" s="397">
        <f>(DSUM('2_Fluorados'!$E$11:$P$33,"emisiones",'6.2_Resultados España'!E$71:E83)/1000)-SUM(G$72:G82)</f>
        <v>0</v>
      </c>
      <c r="H83" s="503">
        <f>(DSUM('3_Emisiones proceso'!$E$13:$L$35,"emisiones",'6.2_Resultados España'!E$71:E83)/1000)-SUM(H$72:H82)</f>
        <v>0</v>
      </c>
      <c r="I83" s="503"/>
      <c r="J83" s="504">
        <f t="shared" si="2"/>
        <v>0</v>
      </c>
      <c r="K83" s="504"/>
      <c r="L83" s="504"/>
      <c r="M83" s="504"/>
      <c r="N83" s="503">
        <f>(DSUM('4.2_Electricidad España'!$E$19:$J$41,"emisiones",'6.2_Resultados España'!E$71:E83)/1000)-SUM(N$72:N82)</f>
        <v>0</v>
      </c>
      <c r="O83" s="503"/>
      <c r="P83" s="504">
        <f t="shared" si="3"/>
        <v>0</v>
      </c>
      <c r="Q83" s="504"/>
      <c r="R83" s="504"/>
    </row>
    <row r="84" spans="5:18" x14ac:dyDescent="0.3">
      <c r="E84" s="195" t="str">
        <f>IF(Dades!C674="","",Dades!C674)</f>
        <v/>
      </c>
      <c r="F84" s="397">
        <f>(DSUM('1_Combustibles fósiles'!$E$17:$N$39,"emisiones",'6.2_Resultados España'!E$71:E84)/1000)-SUM(F$72:F83)</f>
        <v>0</v>
      </c>
      <c r="G84" s="397">
        <f>(DSUM('2_Fluorados'!$E$11:$P$33,"emisiones",'6.2_Resultados España'!E$71:E84)/1000)-SUM(G$72:G83)</f>
        <v>0</v>
      </c>
      <c r="H84" s="503">
        <f>(DSUM('3_Emisiones proceso'!$E$13:$L$35,"emisiones",'6.2_Resultados España'!E$71:E84)/1000)-SUM(H$72:H83)</f>
        <v>0</v>
      </c>
      <c r="I84" s="503"/>
      <c r="J84" s="504">
        <f t="shared" si="2"/>
        <v>0</v>
      </c>
      <c r="K84" s="504"/>
      <c r="L84" s="504"/>
      <c r="M84" s="504"/>
      <c r="N84" s="503">
        <f>(DSUM('4.2_Electricidad España'!$E$19:$J$41,"emisiones",'6.2_Resultados España'!E$71:E84)/1000)-SUM(N$72:N83)</f>
        <v>0</v>
      </c>
      <c r="O84" s="503"/>
      <c r="P84" s="504">
        <f t="shared" si="3"/>
        <v>0</v>
      </c>
      <c r="Q84" s="504"/>
      <c r="R84" s="504"/>
    </row>
    <row r="85" spans="5:18" x14ac:dyDescent="0.3">
      <c r="E85" s="195" t="str">
        <f>IF(Dades!C675="","",Dades!C675)</f>
        <v/>
      </c>
      <c r="F85" s="397">
        <f>(DSUM('1_Combustibles fósiles'!$E$17:$N$39,"emisiones",'6.2_Resultados España'!E$71:E85)/1000)-SUM(F$72:F84)</f>
        <v>0</v>
      </c>
      <c r="G85" s="397">
        <f>(DSUM('2_Fluorados'!$E$11:$P$33,"emisiones",'6.2_Resultados España'!E$71:E85)/1000)-SUM(G$72:G84)</f>
        <v>0</v>
      </c>
      <c r="H85" s="503">
        <f>(DSUM('3_Emisiones proceso'!$E$13:$L$35,"emisiones",'6.2_Resultados España'!E$71:E85)/1000)-SUM(H$72:H84)</f>
        <v>0</v>
      </c>
      <c r="I85" s="503"/>
      <c r="J85" s="504">
        <f t="shared" si="2"/>
        <v>0</v>
      </c>
      <c r="K85" s="504"/>
      <c r="L85" s="504"/>
      <c r="M85" s="504"/>
      <c r="N85" s="503">
        <f>(DSUM('4.2_Electricidad España'!$E$19:$J$41,"emisiones",'6.2_Resultados España'!E$71:E85)/1000)-SUM(N$72:N84)</f>
        <v>0</v>
      </c>
      <c r="O85" s="503"/>
      <c r="P85" s="504">
        <f t="shared" si="3"/>
        <v>0</v>
      </c>
      <c r="Q85" s="504"/>
      <c r="R85" s="504"/>
    </row>
    <row r="86" spans="5:18" x14ac:dyDescent="0.3">
      <c r="E86" s="195" t="str">
        <f>IF(Dades!C676="","",Dades!C676)</f>
        <v/>
      </c>
      <c r="F86" s="397">
        <f>(DSUM('1_Combustibles fósiles'!$E$17:$N$39,"emisiones",'6.2_Resultados España'!E$71:E86)/1000)-SUM(F$72:F85)</f>
        <v>0</v>
      </c>
      <c r="G86" s="397">
        <f>(DSUM('2_Fluorados'!$E$11:$P$33,"emisiones",'6.2_Resultados España'!E$71:E86)/1000)-SUM(G$72:G85)</f>
        <v>0</v>
      </c>
      <c r="H86" s="503">
        <f>(DSUM('3_Emisiones proceso'!$E$13:$L$35,"emisiones",'6.2_Resultados España'!E$71:E86)/1000)-SUM(H$72:H85)</f>
        <v>0</v>
      </c>
      <c r="I86" s="503"/>
      <c r="J86" s="504">
        <f t="shared" si="2"/>
        <v>0</v>
      </c>
      <c r="K86" s="504"/>
      <c r="L86" s="504"/>
      <c r="M86" s="504"/>
      <c r="N86" s="503">
        <f>(DSUM('4.2_Electricidad España'!$E$19:$J$41,"emisiones",'6.2_Resultados España'!E$71:E86)/1000)-SUM(N$72:N85)</f>
        <v>0</v>
      </c>
      <c r="O86" s="503"/>
      <c r="P86" s="504">
        <f t="shared" si="3"/>
        <v>0</v>
      </c>
      <c r="Q86" s="504"/>
      <c r="R86" s="504"/>
    </row>
    <row r="87" spans="5:18" x14ac:dyDescent="0.3">
      <c r="E87" s="195" t="str">
        <f>IF(Dades!C677="","",Dades!C677)</f>
        <v/>
      </c>
      <c r="F87" s="397">
        <f>(DSUM('1_Combustibles fósiles'!$E$17:$N$39,"emisiones",'6.2_Resultados España'!E$71:E87)/1000)-SUM(F$72:F86)</f>
        <v>0</v>
      </c>
      <c r="G87" s="397">
        <f>(DSUM('2_Fluorados'!$E$11:$P$33,"emisiones",'6.2_Resultados España'!E$71:E87)/1000)-SUM(G$72:G86)</f>
        <v>0</v>
      </c>
      <c r="H87" s="503">
        <f>(DSUM('3_Emisiones proceso'!$E$13:$L$35,"emisiones",'6.2_Resultados España'!E$71:E87)/1000)-SUM(H$72:H86)</f>
        <v>0</v>
      </c>
      <c r="I87" s="503"/>
      <c r="J87" s="504">
        <f t="shared" si="2"/>
        <v>0</v>
      </c>
      <c r="K87" s="504"/>
      <c r="L87" s="504"/>
      <c r="M87" s="504"/>
      <c r="N87" s="503">
        <f>(DSUM('4.2_Electricidad España'!$E$19:$J$41,"emisiones",'6.2_Resultados España'!E$71:E87)/1000)-SUM(N$72:N86)</f>
        <v>0</v>
      </c>
      <c r="O87" s="503"/>
      <c r="P87" s="504">
        <f t="shared" si="3"/>
        <v>0</v>
      </c>
      <c r="Q87" s="504"/>
      <c r="R87" s="504"/>
    </row>
    <row r="88" spans="5:18" x14ac:dyDescent="0.3">
      <c r="E88" s="195" t="str">
        <f>IF(Dades!C678="","",Dades!C678)</f>
        <v/>
      </c>
      <c r="F88" s="397">
        <f>(DSUM('1_Combustibles fósiles'!$E$17:$N$39,"emisiones",'6.2_Resultados España'!E$71:E88)/1000)-SUM(F$72:F87)</f>
        <v>0</v>
      </c>
      <c r="G88" s="397">
        <f>(DSUM('2_Fluorados'!$E$11:$P$33,"emisiones",'6.2_Resultados España'!E$71:E88)/1000)-SUM(G$72:G87)</f>
        <v>0</v>
      </c>
      <c r="H88" s="503">
        <f>(DSUM('3_Emisiones proceso'!$E$13:$L$35,"emisiones",'6.2_Resultados España'!E$71:E88)/1000)-SUM(H$72:H87)</f>
        <v>0</v>
      </c>
      <c r="I88" s="503"/>
      <c r="J88" s="504">
        <f t="shared" si="2"/>
        <v>0</v>
      </c>
      <c r="K88" s="504"/>
      <c r="L88" s="504"/>
      <c r="M88" s="504"/>
      <c r="N88" s="503">
        <f>(DSUM('4.2_Electricidad España'!$E$19:$J$41,"emisiones",'6.2_Resultados España'!E$71:E88)/1000)-SUM(N$72:N87)</f>
        <v>0</v>
      </c>
      <c r="O88" s="503"/>
      <c r="P88" s="504">
        <f t="shared" si="3"/>
        <v>0</v>
      </c>
      <c r="Q88" s="504"/>
      <c r="R88" s="504"/>
    </row>
    <row r="89" spans="5:18" x14ac:dyDescent="0.3">
      <c r="E89" s="195" t="str">
        <f>IF(Dades!C679="","",Dades!C679)</f>
        <v/>
      </c>
      <c r="F89" s="397">
        <f>(DSUM('1_Combustibles fósiles'!$E$17:$N$39,"emisiones",'6.2_Resultados España'!E$71:E89)/1000)-SUM(F$72:F88)</f>
        <v>0</v>
      </c>
      <c r="G89" s="397">
        <f>(DSUM('2_Fluorados'!$E$11:$P$33,"emisiones",'6.2_Resultados España'!E$71:E89)/1000)-SUM(G$72:G88)</f>
        <v>0</v>
      </c>
      <c r="H89" s="503">
        <f>(DSUM('3_Emisiones proceso'!$E$13:$L$35,"emisiones",'6.2_Resultados España'!E$71:E89)/1000)-SUM(H$72:H88)</f>
        <v>0</v>
      </c>
      <c r="I89" s="503"/>
      <c r="J89" s="504">
        <f t="shared" si="2"/>
        <v>0</v>
      </c>
      <c r="K89" s="504"/>
      <c r="L89" s="504"/>
      <c r="M89" s="504"/>
      <c r="N89" s="503">
        <f>(DSUM('4.2_Electricidad España'!$E$19:$J$41,"emisiones",'6.2_Resultados España'!E$71:E89)/1000)-SUM(N$72:N88)</f>
        <v>0</v>
      </c>
      <c r="O89" s="503"/>
      <c r="P89" s="504">
        <f t="shared" si="3"/>
        <v>0</v>
      </c>
      <c r="Q89" s="504"/>
      <c r="R89" s="504"/>
    </row>
    <row r="90" spans="5:18" x14ac:dyDescent="0.3">
      <c r="E90" s="195" t="str">
        <f>IF(Dades!C680="","",Dades!C680)</f>
        <v/>
      </c>
      <c r="F90" s="397">
        <f>(DSUM('1_Combustibles fósiles'!$E$17:$N$39,"emisiones",'6.2_Resultados España'!E$71:E90)/1000)-SUM(F$72:F89)</f>
        <v>0</v>
      </c>
      <c r="G90" s="397">
        <f>(DSUM('2_Fluorados'!$E$11:$P$33,"emisiones",'6.2_Resultados España'!E$71:E90)/1000)-SUM(G$72:G89)</f>
        <v>0</v>
      </c>
      <c r="H90" s="503">
        <f>(DSUM('3_Emisiones proceso'!$E$13:$L$35,"emisiones",'6.2_Resultados España'!E$71:E90)/1000)-SUM(H$72:H89)</f>
        <v>0</v>
      </c>
      <c r="I90" s="503"/>
      <c r="J90" s="504">
        <f t="shared" si="2"/>
        <v>0</v>
      </c>
      <c r="K90" s="504"/>
      <c r="L90" s="504"/>
      <c r="M90" s="504"/>
      <c r="N90" s="503">
        <f>(DSUM('4.2_Electricidad España'!$E$19:$J$41,"emisiones",'6.2_Resultados España'!E$71:E90)/1000)-SUM(N$72:N89)</f>
        <v>0</v>
      </c>
      <c r="O90" s="503"/>
      <c r="P90" s="504">
        <f t="shared" si="3"/>
        <v>0</v>
      </c>
      <c r="Q90" s="504"/>
      <c r="R90" s="504"/>
    </row>
    <row r="91" spans="5:18" x14ac:dyDescent="0.3">
      <c r="E91" s="195" t="str">
        <f>IF(Dades!C681="","",Dades!C681)</f>
        <v/>
      </c>
      <c r="F91" s="397">
        <f>(DSUM('1_Combustibles fósiles'!$E$17:$N$39,"emisiones",'6.2_Resultados España'!E$71:E91)/1000)-SUM(F$72:F90)</f>
        <v>0</v>
      </c>
      <c r="G91" s="397">
        <f>(DSUM('2_Fluorados'!$E$11:$P$33,"emisiones",'6.2_Resultados España'!E$71:E91)/1000)-SUM(G$72:G90)</f>
        <v>0</v>
      </c>
      <c r="H91" s="503">
        <f>(DSUM('3_Emisiones proceso'!$E$13:$L$35,"emisiones",'6.2_Resultados España'!E$71:E91)/1000)-SUM(H$72:H90)</f>
        <v>0</v>
      </c>
      <c r="I91" s="503"/>
      <c r="J91" s="504">
        <f t="shared" si="2"/>
        <v>0</v>
      </c>
      <c r="K91" s="504"/>
      <c r="L91" s="504"/>
      <c r="M91" s="504"/>
      <c r="N91" s="503">
        <f>(DSUM('4.2_Electricidad España'!$E$19:$J$41,"emisiones",'6.2_Resultados España'!E$71:E91)/1000)-SUM(N$72:N90)</f>
        <v>0</v>
      </c>
      <c r="O91" s="503"/>
      <c r="P91" s="504">
        <f t="shared" si="3"/>
        <v>0</v>
      </c>
      <c r="Q91" s="504"/>
      <c r="R91" s="504"/>
    </row>
    <row r="92" spans="5:18" x14ac:dyDescent="0.3">
      <c r="E92" s="195" t="str">
        <f>IF(Dades!C682="","",Dades!C682)</f>
        <v/>
      </c>
      <c r="F92" s="397">
        <f>(DSUM('1_Combustibles fósiles'!$E$17:$N$39,"emisiones",'6.2_Resultados España'!E$71:E92)/1000)-SUM(F$72:F91)</f>
        <v>0</v>
      </c>
      <c r="G92" s="397">
        <f>(DSUM('2_Fluorados'!$E$11:$P$33,"emisiones",'6.2_Resultados España'!E$71:E92)/1000)-SUM(G$72:G91)</f>
        <v>0</v>
      </c>
      <c r="H92" s="503">
        <f>(DSUM('3_Emisiones proceso'!$E$13:$L$35,"emisiones",'6.2_Resultados España'!E$71:E92)/1000)-SUM(H$72:H91)</f>
        <v>0</v>
      </c>
      <c r="I92" s="503"/>
      <c r="J92" s="504">
        <f t="shared" si="2"/>
        <v>0</v>
      </c>
      <c r="K92" s="504"/>
      <c r="L92" s="504"/>
      <c r="M92" s="504"/>
      <c r="N92" s="503">
        <f>(DSUM('4.2_Electricidad España'!$E$19:$J$41,"emisiones",'6.2_Resultados España'!E$71:E92)/1000)-SUM(N$72:N91)</f>
        <v>0</v>
      </c>
      <c r="O92" s="503"/>
      <c r="P92" s="504">
        <f t="shared" si="3"/>
        <v>0</v>
      </c>
      <c r="Q92" s="504"/>
      <c r="R92" s="504"/>
    </row>
    <row r="93" spans="5:18" x14ac:dyDescent="0.3">
      <c r="E93" s="195" t="str">
        <f>IF(Dades!C683="","",Dades!C683)</f>
        <v/>
      </c>
      <c r="F93" s="397">
        <f>(DSUM('1_Combustibles fósiles'!$E$17:$N$39,"emisiones",'6.2_Resultados España'!E$71:E93)/1000)-SUM(F$72:F92)</f>
        <v>0</v>
      </c>
      <c r="G93" s="397">
        <f>(DSUM('2_Fluorados'!$E$11:$P$33,"emisiones",'6.2_Resultados España'!E$71:E93)/1000)-SUM(G$72:G92)</f>
        <v>0</v>
      </c>
      <c r="H93" s="503">
        <f>(DSUM('3_Emisiones proceso'!$E$13:$L$35,"emisiones",'6.2_Resultados España'!E$71:E93)/1000)-SUM(H$72:H92)</f>
        <v>0</v>
      </c>
      <c r="I93" s="503"/>
      <c r="J93" s="504">
        <f t="shared" si="2"/>
        <v>0</v>
      </c>
      <c r="K93" s="504"/>
      <c r="L93" s="504"/>
      <c r="M93" s="504"/>
      <c r="N93" s="503">
        <f>(DSUM('4.2_Electricidad España'!$E$19:$J$41,"emisiones",'6.2_Resultados España'!E$71:E93)/1000)-SUM(N$72:N92)</f>
        <v>0</v>
      </c>
      <c r="O93" s="503"/>
      <c r="P93" s="504">
        <f t="shared" si="3"/>
        <v>0</v>
      </c>
      <c r="Q93" s="504"/>
      <c r="R93" s="504"/>
    </row>
    <row r="94" spans="5:18" x14ac:dyDescent="0.3">
      <c r="E94" s="195" t="str">
        <f>IF(Dades!C684="","",Dades!C684)</f>
        <v/>
      </c>
      <c r="F94" s="397">
        <f>(DSUM('1_Combustibles fósiles'!$E$17:$N$39,"emisiones",'6.2_Resultados España'!E$71:E94)/1000)-SUM(F$72:F93)</f>
        <v>0</v>
      </c>
      <c r="G94" s="397">
        <f>(DSUM('2_Fluorados'!$E$11:$P$33,"emisiones",'6.2_Resultados España'!E$71:E94)/1000)-SUM(G$72:G93)</f>
        <v>0</v>
      </c>
      <c r="H94" s="503">
        <f>(DSUM('3_Emisiones proceso'!$E$13:$L$35,"emisiones",'6.2_Resultados España'!E$71:E94)/1000)-SUM(H$72:H93)</f>
        <v>0</v>
      </c>
      <c r="I94" s="503"/>
      <c r="J94" s="504">
        <f t="shared" si="2"/>
        <v>0</v>
      </c>
      <c r="K94" s="504"/>
      <c r="L94" s="504"/>
      <c r="M94" s="504"/>
      <c r="N94" s="503">
        <f>(DSUM('4.2_Electricidad España'!$E$19:$J$41,"emisiones",'6.2_Resultados España'!E$71:E94)/1000)-SUM(N$72:N93)</f>
        <v>0</v>
      </c>
      <c r="O94" s="503"/>
      <c r="P94" s="504">
        <f t="shared" si="3"/>
        <v>0</v>
      </c>
      <c r="Q94" s="504"/>
      <c r="R94" s="504"/>
    </row>
    <row r="95" spans="5:18" x14ac:dyDescent="0.3">
      <c r="E95" s="195" t="str">
        <f>IF(Dades!C685="","",Dades!C685)</f>
        <v/>
      </c>
      <c r="F95" s="397">
        <f>(DSUM('1_Combustibles fósiles'!$E$17:$N$39,"emisiones",'6.2_Resultados España'!E$71:E95)/1000)-SUM(F$72:F94)</f>
        <v>0</v>
      </c>
      <c r="G95" s="397">
        <f>(DSUM('2_Fluorados'!$E$11:$P$33,"emisiones",'6.2_Resultados España'!E$71:E95)/1000)-SUM(G$72:G94)</f>
        <v>0</v>
      </c>
      <c r="H95" s="503">
        <f>(DSUM('3_Emisiones proceso'!$E$13:$L$35,"emisiones",'6.2_Resultados España'!E$71:E95)/1000)-SUM(H$72:H94)</f>
        <v>0</v>
      </c>
      <c r="I95" s="503"/>
      <c r="J95" s="504">
        <f t="shared" si="2"/>
        <v>0</v>
      </c>
      <c r="K95" s="504"/>
      <c r="L95" s="504"/>
      <c r="M95" s="504"/>
      <c r="N95" s="503">
        <f>(DSUM('4.2_Electricidad España'!$E$19:$J$41,"emisiones",'6.2_Resultados España'!E$71:E95)/1000)-SUM(N$72:N94)</f>
        <v>0</v>
      </c>
      <c r="O95" s="503"/>
      <c r="P95" s="504">
        <f t="shared" si="3"/>
        <v>0</v>
      </c>
      <c r="Q95" s="504"/>
      <c r="R95" s="504"/>
    </row>
    <row r="96" spans="5:18" x14ac:dyDescent="0.3">
      <c r="E96" s="195" t="str">
        <f>IF(Dades!C686="","",Dades!C686)</f>
        <v/>
      </c>
      <c r="F96" s="397">
        <f>(DSUM('1_Combustibles fósiles'!$E$17:$N$39,"emisiones",'6.2_Resultados España'!E$71:E96)/1000)-SUM(F$72:F95)</f>
        <v>0</v>
      </c>
      <c r="G96" s="397">
        <f>(DSUM('2_Fluorados'!$E$11:$P$33,"emisiones",'6.2_Resultados España'!E$71:E96)/1000)-SUM(G$72:G95)</f>
        <v>0</v>
      </c>
      <c r="H96" s="503">
        <f>(DSUM('3_Emisiones proceso'!$E$13:$L$35,"emisiones",'6.2_Resultados España'!E$71:E96)/1000)-SUM(H$72:H95)</f>
        <v>0</v>
      </c>
      <c r="I96" s="503"/>
      <c r="J96" s="504">
        <f t="shared" si="2"/>
        <v>0</v>
      </c>
      <c r="K96" s="504"/>
      <c r="L96" s="504"/>
      <c r="M96" s="504"/>
      <c r="N96" s="503">
        <f>(DSUM('4.2_Electricidad España'!$E$19:$J$41,"emisiones",'6.2_Resultados España'!E$71:E96)/1000)-SUM(N$72:N95)</f>
        <v>0</v>
      </c>
      <c r="O96" s="503"/>
      <c r="P96" s="504">
        <f t="shared" si="3"/>
        <v>0</v>
      </c>
      <c r="Q96" s="504"/>
      <c r="R96" s="504"/>
    </row>
    <row r="97" spans="5:18" x14ac:dyDescent="0.3">
      <c r="E97" s="195" t="str">
        <f>IF(Dades!C687="","",Dades!C687)</f>
        <v/>
      </c>
      <c r="F97" s="397">
        <f>(DSUM('1_Combustibles fósiles'!$E$17:$N$39,"emisiones",'6.2_Resultados España'!E$71:E97)/1000)-SUM(F$72:F96)</f>
        <v>0</v>
      </c>
      <c r="G97" s="397">
        <f>(DSUM('2_Fluorados'!$E$11:$P$33,"emisiones",'6.2_Resultados España'!E$71:E97)/1000)-SUM(G$72:G96)</f>
        <v>0</v>
      </c>
      <c r="H97" s="503">
        <f>(DSUM('3_Emisiones proceso'!$E$13:$L$35,"emisiones",'6.2_Resultados España'!E$71:E97)/1000)-SUM(H$72:H96)</f>
        <v>0</v>
      </c>
      <c r="I97" s="503"/>
      <c r="J97" s="504">
        <f t="shared" si="2"/>
        <v>0</v>
      </c>
      <c r="K97" s="504"/>
      <c r="L97" s="504"/>
      <c r="M97" s="504"/>
      <c r="N97" s="503">
        <f>(DSUM('4.2_Electricidad España'!$E$19:$J$41,"emisiones",'6.2_Resultados España'!E$71:E97)/1000)-SUM(N$72:N96)</f>
        <v>0</v>
      </c>
      <c r="O97" s="503"/>
      <c r="P97" s="504">
        <f t="shared" si="3"/>
        <v>0</v>
      </c>
      <c r="Q97" s="504"/>
      <c r="R97" s="504"/>
    </row>
    <row r="98" spans="5:18" x14ac:dyDescent="0.3">
      <c r="E98" s="195" t="str">
        <f>IF(Dades!C688="","",Dades!C688)</f>
        <v/>
      </c>
      <c r="F98" s="397">
        <f>(DSUM('1_Combustibles fósiles'!$E$17:$N$39,"emisiones",'6.2_Resultados España'!E$71:E98)/1000)-SUM(F$72:F97)</f>
        <v>0</v>
      </c>
      <c r="G98" s="397">
        <f>(DSUM('2_Fluorados'!$E$11:$P$33,"emisiones",'6.2_Resultados España'!E$71:E98)/1000)-SUM(G$72:G97)</f>
        <v>0</v>
      </c>
      <c r="H98" s="503">
        <f>(DSUM('3_Emisiones proceso'!$E$13:$L$35,"emisiones",'6.2_Resultados España'!E$71:E98)/1000)-SUM(H$72:H97)</f>
        <v>0</v>
      </c>
      <c r="I98" s="503"/>
      <c r="J98" s="504">
        <f t="shared" si="2"/>
        <v>0</v>
      </c>
      <c r="K98" s="504"/>
      <c r="L98" s="504"/>
      <c r="M98" s="504"/>
      <c r="N98" s="503">
        <f>(DSUM('4.2_Electricidad España'!$E$19:$J$41,"emisiones",'6.2_Resultados España'!E$71:E98)/1000)-SUM(N$72:N97)</f>
        <v>0</v>
      </c>
      <c r="O98" s="503"/>
      <c r="P98" s="504">
        <f t="shared" si="3"/>
        <v>0</v>
      </c>
      <c r="Q98" s="504"/>
      <c r="R98" s="504"/>
    </row>
    <row r="99" spans="5:18" x14ac:dyDescent="0.3">
      <c r="E99" s="195" t="str">
        <f>IF(Dades!C689="","",Dades!C689)</f>
        <v/>
      </c>
      <c r="F99" s="397">
        <f>(DSUM('1_Combustibles fósiles'!$E$17:$N$39,"emisiones",'6.2_Resultados España'!E$71:E99)/1000)-SUM(F$72:F98)</f>
        <v>0</v>
      </c>
      <c r="G99" s="397">
        <f>(DSUM('2_Fluorados'!$E$11:$P$33,"emisiones",'6.2_Resultados España'!E$71:E99)/1000)-SUM(G$72:G98)</f>
        <v>0</v>
      </c>
      <c r="H99" s="503">
        <f>(DSUM('3_Emisiones proceso'!$E$13:$L$35,"emisiones",'6.2_Resultados España'!E$71:E99)/1000)-SUM(H$72:H98)</f>
        <v>0</v>
      </c>
      <c r="I99" s="503"/>
      <c r="J99" s="504">
        <f t="shared" si="2"/>
        <v>0</v>
      </c>
      <c r="K99" s="504"/>
      <c r="L99" s="504"/>
      <c r="M99" s="504"/>
      <c r="N99" s="503">
        <f>(DSUM('4.2_Electricidad España'!$E$19:$J$41,"emisiones",'6.2_Resultados España'!E$71:E99)/1000)-SUM(N$72:N98)</f>
        <v>0</v>
      </c>
      <c r="O99" s="503"/>
      <c r="P99" s="504">
        <f t="shared" si="3"/>
        <v>0</v>
      </c>
      <c r="Q99" s="504"/>
      <c r="R99" s="504"/>
    </row>
    <row r="100" spans="5:18" x14ac:dyDescent="0.3">
      <c r="E100" s="195" t="str">
        <f>IF(Dades!C690="","",Dades!C690)</f>
        <v/>
      </c>
      <c r="F100" s="397">
        <f>(DSUM('1_Combustibles fósiles'!$E$17:$N$39,"emisiones",'6.2_Resultados España'!E$71:E100)/1000)-SUM(F$72:F99)</f>
        <v>0</v>
      </c>
      <c r="G100" s="397">
        <f>(DSUM('2_Fluorados'!$E$11:$P$33,"emisiones",'6.2_Resultados España'!E$71:E100)/1000)-SUM(G$72:G99)</f>
        <v>0</v>
      </c>
      <c r="H100" s="503">
        <f>(DSUM('3_Emisiones proceso'!$E$13:$L$35,"emisiones",'6.2_Resultados España'!E$71:E100)/1000)-SUM(H$72:H99)</f>
        <v>0</v>
      </c>
      <c r="I100" s="503"/>
      <c r="J100" s="504">
        <f t="shared" si="2"/>
        <v>0</v>
      </c>
      <c r="K100" s="504"/>
      <c r="L100" s="504"/>
      <c r="M100" s="504"/>
      <c r="N100" s="503">
        <f>(DSUM('4.2_Electricidad España'!$E$19:$J$41,"emisiones",'6.2_Resultados España'!E$71:E100)/1000)-SUM(N$72:N99)</f>
        <v>0</v>
      </c>
      <c r="O100" s="503"/>
      <c r="P100" s="504">
        <f t="shared" si="3"/>
        <v>0</v>
      </c>
      <c r="Q100" s="504"/>
      <c r="R100" s="504"/>
    </row>
    <row r="101" spans="5:18" x14ac:dyDescent="0.3">
      <c r="E101" s="195" t="str">
        <f>IF(Dades!C691="","",Dades!C691)</f>
        <v/>
      </c>
      <c r="F101" s="397">
        <f>(DSUM('1_Combustibles fósiles'!$E$17:$N$39,"emisiones",'6.2_Resultados España'!E$71:E101)/1000)-SUM(F$72:F100)</f>
        <v>0</v>
      </c>
      <c r="G101" s="397">
        <f>(DSUM('2_Fluorados'!$E$11:$P$33,"emisiones",'6.2_Resultados España'!E$71:E101)/1000)-SUM(G$72:G100)</f>
        <v>0</v>
      </c>
      <c r="H101" s="503">
        <f>(DSUM('3_Emisiones proceso'!$E$13:$L$35,"emisiones",'6.2_Resultados España'!E$71:E101)/1000)-SUM(H$72:H100)</f>
        <v>0</v>
      </c>
      <c r="I101" s="503"/>
      <c r="J101" s="504">
        <f t="shared" si="2"/>
        <v>0</v>
      </c>
      <c r="K101" s="504"/>
      <c r="L101" s="504"/>
      <c r="M101" s="504"/>
      <c r="N101" s="503">
        <f>(DSUM('4.2_Electricidad España'!$E$19:$J$41,"emisiones",'6.2_Resultados España'!E$71:E101)/1000)-SUM(N$72:N100)</f>
        <v>0</v>
      </c>
      <c r="O101" s="503"/>
      <c r="P101" s="504">
        <f t="shared" si="3"/>
        <v>0</v>
      </c>
      <c r="Q101" s="504"/>
      <c r="R101" s="504"/>
    </row>
    <row r="102" spans="5:18" x14ac:dyDescent="0.3">
      <c r="E102" s="195" t="str">
        <f>IF(Dades!C692="","",Dades!C692)</f>
        <v/>
      </c>
      <c r="F102" s="397">
        <f>(DSUM('1_Combustibles fósiles'!$E$17:$N$39,"emisiones",'6.2_Resultados España'!E$71:E102)/1000)-SUM(F$72:F101)</f>
        <v>0</v>
      </c>
      <c r="G102" s="397">
        <f>(DSUM('2_Fluorados'!$E$11:$P$33,"emisiones",'6.2_Resultados España'!E$71:E102)/1000)-SUM(G$72:G101)</f>
        <v>0</v>
      </c>
      <c r="H102" s="503">
        <f>(DSUM('3_Emisiones proceso'!$E$13:$L$35,"emisiones",'6.2_Resultados España'!E$71:E102)/1000)-SUM(H$72:H101)</f>
        <v>0</v>
      </c>
      <c r="I102" s="503"/>
      <c r="J102" s="504">
        <f t="shared" si="2"/>
        <v>0</v>
      </c>
      <c r="K102" s="504"/>
      <c r="L102" s="504"/>
      <c r="M102" s="504"/>
      <c r="N102" s="503">
        <f>(DSUM('4.2_Electricidad España'!$E$19:$J$41,"emisiones",'6.2_Resultados España'!E$71:E102)/1000)-SUM(N$72:N101)</f>
        <v>0</v>
      </c>
      <c r="O102" s="503"/>
      <c r="P102" s="504">
        <f t="shared" si="3"/>
        <v>0</v>
      </c>
      <c r="Q102" s="504"/>
      <c r="R102" s="504"/>
    </row>
    <row r="103" spans="5:18" x14ac:dyDescent="0.3">
      <c r="E103" s="195" t="str">
        <f>IF(Dades!C693="","",Dades!C693)</f>
        <v/>
      </c>
      <c r="F103" s="397">
        <f>(DSUM('1_Combustibles fósiles'!$E$17:$N$39,"emisiones",'6.2_Resultados España'!E$71:E103)/1000)-SUM(F$72:F102)</f>
        <v>0</v>
      </c>
      <c r="G103" s="397">
        <f>(DSUM('2_Fluorados'!$E$11:$P$33,"emisiones",'6.2_Resultados España'!E$71:E103)/1000)-SUM(G$72:G102)</f>
        <v>0</v>
      </c>
      <c r="H103" s="503">
        <f>(DSUM('3_Emisiones proceso'!$E$13:$L$35,"emisiones",'6.2_Resultados España'!E$71:E103)/1000)-SUM(H$72:H102)</f>
        <v>0</v>
      </c>
      <c r="I103" s="503"/>
      <c r="J103" s="504">
        <f t="shared" si="2"/>
        <v>0</v>
      </c>
      <c r="K103" s="504"/>
      <c r="L103" s="504"/>
      <c r="M103" s="504"/>
      <c r="N103" s="503">
        <f>(DSUM('4.2_Electricidad España'!$E$19:$J$41,"emisiones",'6.2_Resultados España'!E$71:E103)/1000)-SUM(N$72:N102)</f>
        <v>0</v>
      </c>
      <c r="O103" s="503"/>
      <c r="P103" s="504">
        <f t="shared" si="3"/>
        <v>0</v>
      </c>
      <c r="Q103" s="504"/>
      <c r="R103" s="504"/>
    </row>
    <row r="104" spans="5:18" x14ac:dyDescent="0.3">
      <c r="E104" s="195" t="str">
        <f>IF(Dades!C694="","",Dades!C694)</f>
        <v/>
      </c>
      <c r="F104" s="397">
        <f>(DSUM('1_Combustibles fósiles'!$E$17:$N$39,"emisiones",'6.2_Resultados España'!E$71:E104)/1000)-SUM(F$72:F103)</f>
        <v>0</v>
      </c>
      <c r="G104" s="397">
        <f>(DSUM('2_Fluorados'!$E$11:$P$33,"emisiones",'6.2_Resultados España'!E$71:E104)/1000)-SUM(G$72:G103)</f>
        <v>0</v>
      </c>
      <c r="H104" s="503">
        <f>(DSUM('3_Emisiones proceso'!$E$13:$L$35,"emisiones",'6.2_Resultados España'!E$71:E104)/1000)-SUM(H$72:H103)</f>
        <v>0</v>
      </c>
      <c r="I104" s="503"/>
      <c r="J104" s="504">
        <f t="shared" si="2"/>
        <v>0</v>
      </c>
      <c r="K104" s="504"/>
      <c r="L104" s="504"/>
      <c r="M104" s="504"/>
      <c r="N104" s="503">
        <f>(DSUM('4.2_Electricidad España'!$E$19:$J$41,"emisiones",'6.2_Resultados España'!E$71:E104)/1000)-SUM(N$72:N103)</f>
        <v>0</v>
      </c>
      <c r="O104" s="503"/>
      <c r="P104" s="504">
        <f t="shared" si="3"/>
        <v>0</v>
      </c>
      <c r="Q104" s="504"/>
      <c r="R104" s="504"/>
    </row>
    <row r="105" spans="5:18" x14ac:dyDescent="0.3">
      <c r="E105" s="195" t="str">
        <f>IF(Dades!C695="","",Dades!C695)</f>
        <v/>
      </c>
      <c r="F105" s="397">
        <f>(DSUM('1_Combustibles fósiles'!$E$17:$N$39,"emisiones",'6.2_Resultados España'!E$71:E105)/1000)-SUM(F$72:F104)</f>
        <v>0</v>
      </c>
      <c r="G105" s="397">
        <f>(DSUM('2_Fluorados'!$E$11:$P$33,"emisiones",'6.2_Resultados España'!E$71:E105)/1000)-SUM(G$72:G104)</f>
        <v>0</v>
      </c>
      <c r="H105" s="503">
        <f>(DSUM('3_Emisiones proceso'!$E$13:$L$35,"emisiones",'6.2_Resultados España'!E$71:E105)/1000)-SUM(H$72:H104)</f>
        <v>0</v>
      </c>
      <c r="I105" s="503"/>
      <c r="J105" s="504">
        <f t="shared" si="2"/>
        <v>0</v>
      </c>
      <c r="K105" s="504"/>
      <c r="L105" s="504"/>
      <c r="M105" s="504"/>
      <c r="N105" s="503">
        <f>(DSUM('4.2_Electricidad España'!$E$19:$J$41,"emisiones",'6.2_Resultados España'!E$71:E105)/1000)-SUM(N$72:N104)</f>
        <v>0</v>
      </c>
      <c r="O105" s="503"/>
      <c r="P105" s="504">
        <f t="shared" si="3"/>
        <v>0</v>
      </c>
      <c r="Q105" s="504"/>
      <c r="R105" s="504"/>
    </row>
    <row r="106" spans="5:18" x14ac:dyDescent="0.3">
      <c r="E106" s="195" t="str">
        <f>IF(Dades!C696="","",Dades!C696)</f>
        <v/>
      </c>
      <c r="F106" s="397">
        <f>(DSUM('1_Combustibles fósiles'!$E$17:$N$39,"emisiones",'6.2_Resultados España'!E$71:E106)/1000)-SUM(F$72:F105)</f>
        <v>0</v>
      </c>
      <c r="G106" s="397">
        <f>(DSUM('2_Fluorados'!$E$11:$P$33,"emisiones",'6.2_Resultados España'!E$71:E106)/1000)-SUM(G$72:G105)</f>
        <v>0</v>
      </c>
      <c r="H106" s="503">
        <f>(DSUM('3_Emisiones proceso'!$E$13:$L$35,"emisiones",'6.2_Resultados España'!E$71:E106)/1000)-SUM(H$72:H105)</f>
        <v>0</v>
      </c>
      <c r="I106" s="503"/>
      <c r="J106" s="504">
        <f t="shared" si="2"/>
        <v>0</v>
      </c>
      <c r="K106" s="504"/>
      <c r="L106" s="504"/>
      <c r="M106" s="504"/>
      <c r="N106" s="503">
        <f>(DSUM('4.2_Electricidad España'!$E$19:$J$41,"emisiones",'6.2_Resultados España'!E$71:E106)/1000)-SUM(N$72:N105)</f>
        <v>0</v>
      </c>
      <c r="O106" s="503"/>
      <c r="P106" s="504">
        <f t="shared" si="3"/>
        <v>0</v>
      </c>
      <c r="Q106" s="504"/>
      <c r="R106" s="504"/>
    </row>
    <row r="107" spans="5:18" x14ac:dyDescent="0.3">
      <c r="E107" s="195" t="str">
        <f>IF(Dades!C697="","",Dades!C697)</f>
        <v/>
      </c>
      <c r="F107" s="397">
        <f>(DSUM('1_Combustibles fósiles'!$E$17:$N$39,"emisiones",'6.2_Resultados España'!E$71:E107)/1000)-SUM(F$72:F106)</f>
        <v>0</v>
      </c>
      <c r="G107" s="397">
        <f>(DSUM('2_Fluorados'!$E$11:$P$33,"emisiones",'6.2_Resultados España'!E$71:E107)/1000)-SUM(G$72:G106)</f>
        <v>0</v>
      </c>
      <c r="H107" s="503">
        <f>(DSUM('3_Emisiones proceso'!$E$13:$L$35,"emisiones",'6.2_Resultados España'!E$71:E107)/1000)-SUM(H$72:H106)</f>
        <v>0</v>
      </c>
      <c r="I107" s="503"/>
      <c r="J107" s="504">
        <f t="shared" si="2"/>
        <v>0</v>
      </c>
      <c r="K107" s="504"/>
      <c r="L107" s="504"/>
      <c r="M107" s="504"/>
      <c r="N107" s="503">
        <f>(DSUM('4.2_Electricidad España'!$E$19:$J$41,"emisiones",'6.2_Resultados España'!E$71:E107)/1000)-SUM(N$72:N106)</f>
        <v>0</v>
      </c>
      <c r="O107" s="503"/>
      <c r="P107" s="504">
        <f t="shared" si="3"/>
        <v>0</v>
      </c>
      <c r="Q107" s="504"/>
      <c r="R107" s="504"/>
    </row>
    <row r="108" spans="5:18" x14ac:dyDescent="0.3">
      <c r="E108" s="195" t="str">
        <f>IF(Dades!C698="","",Dades!C698)</f>
        <v/>
      </c>
      <c r="F108" s="397">
        <f>(DSUM('1_Combustibles fósiles'!$E$17:$N$39,"emisiones",'6.2_Resultados España'!E$71:E108)/1000)-SUM(F$72:F107)</f>
        <v>0</v>
      </c>
      <c r="G108" s="397">
        <f>(DSUM('2_Fluorados'!$E$11:$P$33,"emisiones",'6.2_Resultados España'!E$71:E108)/1000)-SUM(G$72:G107)</f>
        <v>0</v>
      </c>
      <c r="H108" s="503">
        <f>(DSUM('3_Emisiones proceso'!$E$13:$L$35,"emisiones",'6.2_Resultados España'!E$71:E108)/1000)-SUM(H$72:H107)</f>
        <v>0</v>
      </c>
      <c r="I108" s="503"/>
      <c r="J108" s="504">
        <f t="shared" si="2"/>
        <v>0</v>
      </c>
      <c r="K108" s="504"/>
      <c r="L108" s="504"/>
      <c r="M108" s="504"/>
      <c r="N108" s="503">
        <f>(DSUM('4.2_Electricidad España'!$E$19:$J$41,"emisiones",'6.2_Resultados España'!E$71:E108)/1000)-SUM(N$72:N107)</f>
        <v>0</v>
      </c>
      <c r="O108" s="503"/>
      <c r="P108" s="504">
        <f t="shared" si="3"/>
        <v>0</v>
      </c>
      <c r="Q108" s="504"/>
      <c r="R108" s="504"/>
    </row>
    <row r="109" spans="5:18" x14ac:dyDescent="0.3">
      <c r="E109" s="195" t="str">
        <f>IF(Dades!C699="","",Dades!C699)</f>
        <v/>
      </c>
      <c r="F109" s="397">
        <f>(DSUM('1_Combustibles fósiles'!$E$17:$N$39,"emisiones",'6.2_Resultados España'!E$71:E109)/1000)-SUM(F$72:F108)</f>
        <v>0</v>
      </c>
      <c r="G109" s="397">
        <f>(DSUM('2_Fluorados'!$E$11:$P$33,"emisiones",'6.2_Resultados España'!E$71:E109)/1000)-SUM(G$72:G108)</f>
        <v>0</v>
      </c>
      <c r="H109" s="503">
        <f>(DSUM('3_Emisiones proceso'!$E$13:$L$35,"emisiones",'6.2_Resultados España'!E$71:E109)/1000)-SUM(H$72:H108)</f>
        <v>0</v>
      </c>
      <c r="I109" s="503"/>
      <c r="J109" s="504">
        <f t="shared" si="2"/>
        <v>0</v>
      </c>
      <c r="K109" s="504"/>
      <c r="L109" s="504"/>
      <c r="M109" s="504"/>
      <c r="N109" s="503">
        <f>(DSUM('4.2_Electricidad España'!$E$19:$J$41,"emisiones",'6.2_Resultados España'!E$71:E109)/1000)-SUM(N$72:N108)</f>
        <v>0</v>
      </c>
      <c r="O109" s="503"/>
      <c r="P109" s="504">
        <f t="shared" si="3"/>
        <v>0</v>
      </c>
      <c r="Q109" s="504"/>
      <c r="R109" s="504"/>
    </row>
    <row r="110" spans="5:18" x14ac:dyDescent="0.3">
      <c r="E110" s="195" t="str">
        <f>IF(Dades!C700="","",Dades!C700)</f>
        <v/>
      </c>
      <c r="F110" s="397">
        <f>(DSUM('1_Combustibles fósiles'!$E$17:$N$39,"emisiones",'6.2_Resultados España'!E$71:E110)/1000)-SUM(F$72:F109)</f>
        <v>0</v>
      </c>
      <c r="G110" s="397">
        <f>(DSUM('2_Fluorados'!$E$11:$P$33,"emisiones",'6.2_Resultados España'!E$71:E110)/1000)-SUM(G$72:G109)</f>
        <v>0</v>
      </c>
      <c r="H110" s="503">
        <f>(DSUM('3_Emisiones proceso'!$E$13:$L$35,"emisiones",'6.2_Resultados España'!E$71:E110)/1000)-SUM(H$72:H109)</f>
        <v>0</v>
      </c>
      <c r="I110" s="503"/>
      <c r="J110" s="504">
        <f t="shared" si="2"/>
        <v>0</v>
      </c>
      <c r="K110" s="504"/>
      <c r="L110" s="504"/>
      <c r="M110" s="504"/>
      <c r="N110" s="503">
        <f>(DSUM('4.2_Electricidad España'!$E$19:$J$41,"emisiones",'6.2_Resultados España'!E$71:E110)/1000)-SUM(N$72:N109)</f>
        <v>0</v>
      </c>
      <c r="O110" s="503"/>
      <c r="P110" s="504">
        <f t="shared" si="3"/>
        <v>0</v>
      </c>
      <c r="Q110" s="504"/>
      <c r="R110" s="504"/>
    </row>
    <row r="111" spans="5:18" x14ac:dyDescent="0.3">
      <c r="E111" s="195" t="str">
        <f>IF(Dades!C701="","",Dades!C701)</f>
        <v/>
      </c>
      <c r="F111" s="397">
        <f>(DSUM('1_Combustibles fósiles'!$E$17:$N$39,"emisiones",'6.2_Resultados España'!E$71:E111)/1000)-SUM(F$72:F110)</f>
        <v>0</v>
      </c>
      <c r="G111" s="397">
        <f>(DSUM('2_Fluorados'!$E$11:$P$33,"emisiones",'6.2_Resultados España'!E$71:E111)/1000)-SUM(G$72:G110)</f>
        <v>0</v>
      </c>
      <c r="H111" s="503">
        <f>(DSUM('3_Emisiones proceso'!$E$13:$L$35,"emisiones",'6.2_Resultados España'!E$71:E111)/1000)-SUM(H$72:H110)</f>
        <v>0</v>
      </c>
      <c r="I111" s="503"/>
      <c r="J111" s="504">
        <f t="shared" si="2"/>
        <v>0</v>
      </c>
      <c r="K111" s="504"/>
      <c r="L111" s="504"/>
      <c r="M111" s="504"/>
      <c r="N111" s="503">
        <f>(DSUM('4.2_Electricidad España'!$E$19:$J$41,"emisiones",'6.2_Resultados España'!E$71:E111)/1000)-SUM(N$72:N110)</f>
        <v>0</v>
      </c>
      <c r="O111" s="503"/>
      <c r="P111" s="504">
        <f t="shared" si="3"/>
        <v>0</v>
      </c>
      <c r="Q111" s="504"/>
      <c r="R111" s="504"/>
    </row>
    <row r="112" spans="5:18" x14ac:dyDescent="0.3">
      <c r="E112" s="195" t="str">
        <f>IF(Dades!C702="","",Dades!C702)</f>
        <v/>
      </c>
      <c r="F112" s="397">
        <f>(DSUM('1_Combustibles fósiles'!$E$17:$N$39,"emisiones",'6.2_Resultados España'!E$71:E112)/1000)-SUM(F$72:F111)</f>
        <v>0</v>
      </c>
      <c r="G112" s="397">
        <f>(DSUM('2_Fluorados'!$E$11:$P$33,"emisiones",'6.2_Resultados España'!E$71:E112)/1000)-SUM(G$72:G111)</f>
        <v>0</v>
      </c>
      <c r="H112" s="503">
        <f>(DSUM('3_Emisiones proceso'!$E$13:$L$35,"emisiones",'6.2_Resultados España'!E$71:E112)/1000)-SUM(H$72:H111)</f>
        <v>0</v>
      </c>
      <c r="I112" s="503"/>
      <c r="J112" s="504">
        <f t="shared" si="2"/>
        <v>0</v>
      </c>
      <c r="K112" s="504"/>
      <c r="L112" s="504"/>
      <c r="M112" s="504"/>
      <c r="N112" s="503">
        <f>(DSUM('4.2_Electricidad España'!$E$19:$J$41,"emisiones",'6.2_Resultados España'!E$71:E112)/1000)-SUM(N$72:N111)</f>
        <v>0</v>
      </c>
      <c r="O112" s="503"/>
      <c r="P112" s="504">
        <f t="shared" si="3"/>
        <v>0</v>
      </c>
      <c r="Q112" s="504"/>
      <c r="R112" s="504"/>
    </row>
    <row r="113" spans="5:18" x14ac:dyDescent="0.3">
      <c r="E113" s="195" t="str">
        <f>IF(Dades!C703="","",Dades!C703)</f>
        <v/>
      </c>
      <c r="F113" s="397">
        <f>(DSUM('1_Combustibles fósiles'!$E$17:$N$39,"emisiones",'6.2_Resultados España'!E$71:E113)/1000)-SUM(F$72:F112)</f>
        <v>0</v>
      </c>
      <c r="G113" s="397">
        <f>(DSUM('2_Fluorados'!$E$11:$P$33,"emisiones",'6.2_Resultados España'!E$71:E113)/1000)-SUM(G$72:G112)</f>
        <v>0</v>
      </c>
      <c r="H113" s="503">
        <f>(DSUM('3_Emisiones proceso'!$E$13:$L$35,"emisiones",'6.2_Resultados España'!E$71:E113)/1000)-SUM(H$72:H112)</f>
        <v>0</v>
      </c>
      <c r="I113" s="503"/>
      <c r="J113" s="504">
        <f t="shared" si="2"/>
        <v>0</v>
      </c>
      <c r="K113" s="504"/>
      <c r="L113" s="504"/>
      <c r="M113" s="504"/>
      <c r="N113" s="503">
        <f>(DSUM('4.2_Electricidad España'!$E$19:$J$41,"emisiones",'6.2_Resultados España'!E$71:E113)/1000)-SUM(N$72:N112)</f>
        <v>0</v>
      </c>
      <c r="O113" s="503"/>
      <c r="P113" s="504">
        <f t="shared" si="3"/>
        <v>0</v>
      </c>
      <c r="Q113" s="504"/>
      <c r="R113" s="504"/>
    </row>
    <row r="114" spans="5:18" x14ac:dyDescent="0.3">
      <c r="E114" s="195" t="str">
        <f>IF(Dades!C704="","",Dades!C704)</f>
        <v/>
      </c>
      <c r="F114" s="397">
        <f>(DSUM('1_Combustibles fósiles'!$E$17:$N$39,"emisiones",'6.2_Resultados España'!E$71:E114)/1000)-SUM(F$72:F113)</f>
        <v>0</v>
      </c>
      <c r="G114" s="397">
        <f>(DSUM('2_Fluorados'!$E$11:$P$33,"emisiones",'6.2_Resultados España'!E$71:E114)/1000)-SUM(G$72:G113)</f>
        <v>0</v>
      </c>
      <c r="H114" s="503">
        <f>(DSUM('3_Emisiones proceso'!$E$13:$L$35,"emisiones",'6.2_Resultados España'!E$71:E114)/1000)-SUM(H$72:H113)</f>
        <v>0</v>
      </c>
      <c r="I114" s="503"/>
      <c r="J114" s="504">
        <f t="shared" si="2"/>
        <v>0</v>
      </c>
      <c r="K114" s="504"/>
      <c r="L114" s="504"/>
      <c r="M114" s="504"/>
      <c r="N114" s="503">
        <f>(DSUM('4.2_Electricidad España'!$E$19:$J$41,"emisiones",'6.2_Resultados España'!E$71:E114)/1000)-SUM(N$72:N113)</f>
        <v>0</v>
      </c>
      <c r="O114" s="503"/>
      <c r="P114" s="504">
        <f t="shared" si="3"/>
        <v>0</v>
      </c>
      <c r="Q114" s="504"/>
      <c r="R114" s="504"/>
    </row>
    <row r="115" spans="5:18" x14ac:dyDescent="0.3">
      <c r="E115" s="195" t="str">
        <f>IF(Dades!C705="","",Dades!C705)</f>
        <v/>
      </c>
      <c r="F115" s="397">
        <f>(DSUM('1_Combustibles fósiles'!$E$17:$N$39,"emisiones",'6.2_Resultados España'!E$71:E115)/1000)-SUM(F$72:F114)</f>
        <v>0</v>
      </c>
      <c r="G115" s="397">
        <f>(DSUM('2_Fluorados'!$E$11:$P$33,"emisiones",'6.2_Resultados España'!E$71:E115)/1000)-SUM(G$72:G114)</f>
        <v>0</v>
      </c>
      <c r="H115" s="503">
        <f>(DSUM('3_Emisiones proceso'!$E$13:$L$35,"emisiones",'6.2_Resultados España'!E$71:E115)/1000)-SUM(H$72:H114)</f>
        <v>0</v>
      </c>
      <c r="I115" s="503"/>
      <c r="J115" s="504">
        <f t="shared" si="2"/>
        <v>0</v>
      </c>
      <c r="K115" s="504"/>
      <c r="L115" s="504"/>
      <c r="M115" s="504"/>
      <c r="N115" s="503">
        <f>(DSUM('4.2_Electricidad España'!$E$19:$J$41,"emisiones",'6.2_Resultados España'!E$71:E115)/1000)-SUM(N$72:N114)</f>
        <v>0</v>
      </c>
      <c r="O115" s="503"/>
      <c r="P115" s="504">
        <f t="shared" si="3"/>
        <v>0</v>
      </c>
      <c r="Q115" s="504"/>
      <c r="R115" s="504"/>
    </row>
    <row r="116" spans="5:18" x14ac:dyDescent="0.3">
      <c r="E116" s="195" t="str">
        <f>IF(Dades!C706="","",Dades!C706)</f>
        <v/>
      </c>
      <c r="F116" s="397">
        <f>(DSUM('1_Combustibles fósiles'!$E$17:$N$39,"emisiones",'6.2_Resultados España'!E$71:E116)/1000)-SUM(F$72:F115)</f>
        <v>0</v>
      </c>
      <c r="G116" s="397">
        <f>(DSUM('2_Fluorados'!$E$11:$P$33,"emisiones",'6.2_Resultados España'!E$71:E116)/1000)-SUM(G$72:G115)</f>
        <v>0</v>
      </c>
      <c r="H116" s="503">
        <f>(DSUM('3_Emisiones proceso'!$E$13:$L$35,"emisiones",'6.2_Resultados España'!E$71:E116)/1000)-SUM(H$72:H115)</f>
        <v>0</v>
      </c>
      <c r="I116" s="503"/>
      <c r="J116" s="504">
        <f t="shared" si="2"/>
        <v>0</v>
      </c>
      <c r="K116" s="504"/>
      <c r="L116" s="504"/>
      <c r="M116" s="504"/>
      <c r="N116" s="503">
        <f>(DSUM('4.2_Electricidad España'!$E$19:$J$41,"emisiones",'6.2_Resultados España'!E$71:E116)/1000)-SUM(N$72:N115)</f>
        <v>0</v>
      </c>
      <c r="O116" s="503"/>
      <c r="P116" s="504">
        <f t="shared" si="3"/>
        <v>0</v>
      </c>
      <c r="Q116" s="504"/>
      <c r="R116" s="504"/>
    </row>
    <row r="117" spans="5:18" x14ac:dyDescent="0.3">
      <c r="E117" s="195" t="str">
        <f>IF(Dades!C707="","",Dades!C707)</f>
        <v/>
      </c>
      <c r="F117" s="397">
        <f>(DSUM('1_Combustibles fósiles'!$E$17:$N$39,"emisiones",'6.2_Resultados España'!E$71:E117)/1000)-SUM(F$72:F116)</f>
        <v>0</v>
      </c>
      <c r="G117" s="397">
        <f>(DSUM('2_Fluorados'!$E$11:$P$33,"emisiones",'6.2_Resultados España'!E$71:E117)/1000)-SUM(G$72:G116)</f>
        <v>0</v>
      </c>
      <c r="H117" s="503">
        <f>(DSUM('3_Emisiones proceso'!$E$13:$L$35,"emisiones",'6.2_Resultados España'!E$71:E117)/1000)-SUM(H$72:H116)</f>
        <v>0</v>
      </c>
      <c r="I117" s="503"/>
      <c r="J117" s="504">
        <f t="shared" si="2"/>
        <v>0</v>
      </c>
      <c r="K117" s="504"/>
      <c r="L117" s="504"/>
      <c r="M117" s="504"/>
      <c r="N117" s="503">
        <f>(DSUM('4.2_Electricidad España'!$E$19:$J$41,"emisiones",'6.2_Resultados España'!E$71:E117)/1000)-SUM(N$72:N116)</f>
        <v>0</v>
      </c>
      <c r="O117" s="503"/>
      <c r="P117" s="504">
        <f t="shared" si="3"/>
        <v>0</v>
      </c>
      <c r="Q117" s="504"/>
      <c r="R117" s="504"/>
    </row>
    <row r="118" spans="5:18" x14ac:dyDescent="0.3">
      <c r="E118" s="195" t="str">
        <f>IF(Dades!C708="","",Dades!C708)</f>
        <v/>
      </c>
      <c r="F118" s="397">
        <f>(DSUM('1_Combustibles fósiles'!$E$17:$N$39,"emisiones",'6.2_Resultados España'!E$71:E118)/1000)-SUM(F$72:F117)</f>
        <v>0</v>
      </c>
      <c r="G118" s="397">
        <f>(DSUM('2_Fluorados'!$E$11:$P$33,"emisiones",'6.2_Resultados España'!E$71:E118)/1000)-SUM(G$72:G117)</f>
        <v>0</v>
      </c>
      <c r="H118" s="503">
        <f>(DSUM('3_Emisiones proceso'!$E$13:$L$35,"emisiones",'6.2_Resultados España'!E$71:E118)/1000)-SUM(H$72:H117)</f>
        <v>0</v>
      </c>
      <c r="I118" s="503"/>
      <c r="J118" s="504">
        <f t="shared" si="2"/>
        <v>0</v>
      </c>
      <c r="K118" s="504"/>
      <c r="L118" s="504"/>
      <c r="M118" s="504"/>
      <c r="N118" s="503">
        <f>(DSUM('4.2_Electricidad España'!$E$19:$J$41,"emisiones",'6.2_Resultados España'!E$71:E118)/1000)-SUM(N$72:N117)</f>
        <v>0</v>
      </c>
      <c r="O118" s="503"/>
      <c r="P118" s="504">
        <f t="shared" si="3"/>
        <v>0</v>
      </c>
      <c r="Q118" s="504"/>
      <c r="R118" s="504"/>
    </row>
    <row r="119" spans="5:18" x14ac:dyDescent="0.3">
      <c r="E119" s="195" t="str">
        <f>IF(Dades!C709="","",Dades!C709)</f>
        <v/>
      </c>
      <c r="F119" s="397">
        <f>(DSUM('1_Combustibles fósiles'!$E$17:$N$39,"emisiones",'6.2_Resultados España'!E$71:E119)/1000)-SUM(F$72:F118)</f>
        <v>0</v>
      </c>
      <c r="G119" s="397">
        <f>(DSUM('2_Fluorados'!$E$11:$P$33,"emisiones",'6.2_Resultados España'!E$71:E119)/1000)-SUM(G$72:G118)</f>
        <v>0</v>
      </c>
      <c r="H119" s="503">
        <f>(DSUM('3_Emisiones proceso'!$E$13:$L$35,"emisiones",'6.2_Resultados España'!E$71:E119)/1000)-SUM(H$72:H118)</f>
        <v>0</v>
      </c>
      <c r="I119" s="503"/>
      <c r="J119" s="504">
        <f t="shared" si="2"/>
        <v>0</v>
      </c>
      <c r="K119" s="504"/>
      <c r="L119" s="504"/>
      <c r="M119" s="504"/>
      <c r="N119" s="503">
        <f>(DSUM('4.2_Electricidad España'!$E$19:$J$41,"emisiones",'6.2_Resultados España'!E$71:E119)/1000)-SUM(N$72:N118)</f>
        <v>0</v>
      </c>
      <c r="O119" s="503"/>
      <c r="P119" s="504">
        <f t="shared" si="3"/>
        <v>0</v>
      </c>
      <c r="Q119" s="504"/>
      <c r="R119" s="504"/>
    </row>
    <row r="120" spans="5:18" x14ac:dyDescent="0.3">
      <c r="E120" s="195" t="str">
        <f>IF(Dades!C710="","",Dades!C710)</f>
        <v/>
      </c>
      <c r="F120" s="397">
        <f>(DSUM('1_Combustibles fósiles'!$E$17:$N$39,"emisiones",'6.2_Resultados España'!E$71:E120)/1000)-SUM(F$72:F119)</f>
        <v>0</v>
      </c>
      <c r="G120" s="397">
        <f>(DSUM('2_Fluorados'!$E$11:$P$33,"emisiones",'6.2_Resultados España'!E$71:E120)/1000)-SUM(G$72:G119)</f>
        <v>0</v>
      </c>
      <c r="H120" s="503">
        <f>(DSUM('3_Emisiones proceso'!$E$13:$L$35,"emisiones",'6.2_Resultados España'!E$71:E120)/1000)-SUM(H$72:H119)</f>
        <v>0</v>
      </c>
      <c r="I120" s="503"/>
      <c r="J120" s="504">
        <f t="shared" si="2"/>
        <v>0</v>
      </c>
      <c r="K120" s="504"/>
      <c r="L120" s="504"/>
      <c r="M120" s="504"/>
      <c r="N120" s="503">
        <f>(DSUM('4.2_Electricidad España'!$E$19:$J$41,"emisiones",'6.2_Resultados España'!E$71:E120)/1000)-SUM(N$72:N119)</f>
        <v>0</v>
      </c>
      <c r="O120" s="503"/>
      <c r="P120" s="504">
        <f t="shared" si="3"/>
        <v>0</v>
      </c>
      <c r="Q120" s="504"/>
      <c r="R120" s="504"/>
    </row>
    <row r="121" spans="5:18" x14ac:dyDescent="0.3">
      <c r="E121" s="195" t="str">
        <f>IF(Dades!C711="","",Dades!C711)</f>
        <v/>
      </c>
      <c r="F121" s="397">
        <f>(DSUM('1_Combustibles fósiles'!$E$17:$N$39,"emisiones",'6.2_Resultados España'!E$71:E121)/1000)-SUM(F$72:F120)</f>
        <v>0</v>
      </c>
      <c r="G121" s="397">
        <f>(DSUM('2_Fluorados'!$E$11:$P$33,"emisiones",'6.2_Resultados España'!E$71:E121)/1000)-SUM(G$72:G120)</f>
        <v>0</v>
      </c>
      <c r="H121" s="503">
        <f>(DSUM('3_Emisiones proceso'!$E$13:$L$35,"emisiones",'6.2_Resultados España'!E$71:E121)/1000)-SUM(H$72:H120)</f>
        <v>0</v>
      </c>
      <c r="I121" s="503"/>
      <c r="J121" s="504">
        <f t="shared" si="2"/>
        <v>0</v>
      </c>
      <c r="K121" s="504"/>
      <c r="L121" s="504"/>
      <c r="M121" s="504"/>
      <c r="N121" s="503">
        <f>(DSUM('4.2_Electricidad España'!$E$19:$J$41,"emisiones",'6.2_Resultados España'!E$71:E121)/1000)-SUM(N$72:N120)</f>
        <v>0</v>
      </c>
      <c r="O121" s="503"/>
      <c r="P121" s="504">
        <f t="shared" si="3"/>
        <v>0</v>
      </c>
      <c r="Q121" s="504"/>
      <c r="R121" s="504"/>
    </row>
    <row r="122" spans="5:18" x14ac:dyDescent="0.3">
      <c r="E122" s="195" t="str">
        <f>IF(Dades!C712="","",Dades!C712)</f>
        <v/>
      </c>
      <c r="F122" s="397">
        <f>(DSUM('1_Combustibles fósiles'!$E$17:$N$39,"emisiones",'6.2_Resultados España'!E$71:E122)/1000)-SUM(F$72:F121)</f>
        <v>0</v>
      </c>
      <c r="G122" s="397">
        <f>(DSUM('2_Fluorados'!$E$11:$P$33,"emisiones",'6.2_Resultados España'!E$71:E122)/1000)-SUM(G$72:G121)</f>
        <v>0</v>
      </c>
      <c r="H122" s="503">
        <f>(DSUM('3_Emisiones proceso'!$E$13:$L$35,"emisiones",'6.2_Resultados España'!E$71:E122)/1000)-SUM(H$72:H121)</f>
        <v>0</v>
      </c>
      <c r="I122" s="503"/>
      <c r="J122" s="504">
        <f t="shared" si="2"/>
        <v>0</v>
      </c>
      <c r="K122" s="504"/>
      <c r="L122" s="504"/>
      <c r="M122" s="504"/>
      <c r="N122" s="503">
        <f>(DSUM('4.2_Electricidad España'!$E$19:$J$41,"emisiones",'6.2_Resultados España'!E$71:E122)/1000)-SUM(N$72:N121)</f>
        <v>0</v>
      </c>
      <c r="O122" s="503"/>
      <c r="P122" s="504">
        <f t="shared" si="3"/>
        <v>0</v>
      </c>
      <c r="Q122" s="504"/>
      <c r="R122" s="504"/>
    </row>
    <row r="123" spans="5:18" x14ac:dyDescent="0.3">
      <c r="E123" s="195" t="str">
        <f>IF(Dades!C713="","",Dades!C713)</f>
        <v/>
      </c>
      <c r="F123" s="397">
        <f>(DSUM('1_Combustibles fósiles'!$E$17:$N$39,"emisiones",'6.2_Resultados España'!E$71:E123)/1000)-SUM(F$72:F122)</f>
        <v>0</v>
      </c>
      <c r="G123" s="397">
        <f>(DSUM('2_Fluorados'!$E$11:$P$33,"emisiones",'6.2_Resultados España'!E$71:E123)/1000)-SUM(G$72:G122)</f>
        <v>0</v>
      </c>
      <c r="H123" s="503">
        <f>(DSUM('3_Emisiones proceso'!$E$13:$L$35,"emisiones",'6.2_Resultados España'!E$71:E123)/1000)-SUM(H$72:H122)</f>
        <v>0</v>
      </c>
      <c r="I123" s="503"/>
      <c r="J123" s="504">
        <f t="shared" si="2"/>
        <v>0</v>
      </c>
      <c r="K123" s="504"/>
      <c r="L123" s="504"/>
      <c r="M123" s="504"/>
      <c r="N123" s="503">
        <f>(DSUM('4.2_Electricidad España'!$E$19:$J$41,"emisiones",'6.2_Resultados España'!E$71:E123)/1000)-SUM(N$72:N122)</f>
        <v>0</v>
      </c>
      <c r="O123" s="503"/>
      <c r="P123" s="504">
        <f t="shared" si="3"/>
        <v>0</v>
      </c>
      <c r="Q123" s="504"/>
      <c r="R123" s="504"/>
    </row>
    <row r="124" spans="5:18" x14ac:dyDescent="0.3">
      <c r="E124" s="195" t="str">
        <f>IF(Dades!C714="","",Dades!C714)</f>
        <v/>
      </c>
      <c r="F124" s="397">
        <f>(DSUM('1_Combustibles fósiles'!$E$17:$N$39,"emisiones",'6.2_Resultados España'!E$71:E124)/1000)-SUM(F$72:F123)</f>
        <v>0</v>
      </c>
      <c r="G124" s="397">
        <f>(DSUM('2_Fluorados'!$E$11:$P$33,"emisiones",'6.2_Resultados España'!E$71:E124)/1000)-SUM(G$72:G123)</f>
        <v>0</v>
      </c>
      <c r="H124" s="503">
        <f>(DSUM('3_Emisiones proceso'!$E$13:$L$35,"emisiones",'6.2_Resultados España'!E$71:E124)/1000)-SUM(H$72:H123)</f>
        <v>0</v>
      </c>
      <c r="I124" s="503"/>
      <c r="J124" s="504">
        <f t="shared" si="2"/>
        <v>0</v>
      </c>
      <c r="K124" s="504"/>
      <c r="L124" s="504"/>
      <c r="M124" s="504"/>
      <c r="N124" s="503">
        <f>(DSUM('4.2_Electricidad España'!$E$19:$J$41,"emisiones",'6.2_Resultados España'!E$71:E124)/1000)-SUM(N$72:N123)</f>
        <v>0</v>
      </c>
      <c r="O124" s="503"/>
      <c r="P124" s="504">
        <f t="shared" si="3"/>
        <v>0</v>
      </c>
      <c r="Q124" s="504"/>
      <c r="R124" s="504"/>
    </row>
    <row r="125" spans="5:18" x14ac:dyDescent="0.3">
      <c r="E125" s="195" t="str">
        <f>IF(Dades!C715="","",Dades!C715)</f>
        <v/>
      </c>
      <c r="F125" s="397">
        <f>(DSUM('1_Combustibles fósiles'!$E$17:$N$39,"emisiones",'6.2_Resultados España'!E$71:E125)/1000)-SUM(F$72:F124)</f>
        <v>0</v>
      </c>
      <c r="G125" s="397">
        <f>(DSUM('2_Fluorados'!$E$11:$P$33,"emisiones",'6.2_Resultados España'!E$71:E125)/1000)-SUM(G$72:G124)</f>
        <v>0</v>
      </c>
      <c r="H125" s="503">
        <f>(DSUM('3_Emisiones proceso'!$E$13:$L$35,"emisiones",'6.2_Resultados España'!E$71:E125)/1000)-SUM(H$72:H124)</f>
        <v>0</v>
      </c>
      <c r="I125" s="503"/>
      <c r="J125" s="504">
        <f t="shared" si="2"/>
        <v>0</v>
      </c>
      <c r="K125" s="504"/>
      <c r="L125" s="504"/>
      <c r="M125" s="504"/>
      <c r="N125" s="503">
        <f>(DSUM('4.2_Electricidad España'!$E$19:$J$41,"emisiones",'6.2_Resultados España'!E$71:E125)/1000)-SUM(N$72:N124)</f>
        <v>0</v>
      </c>
      <c r="O125" s="503"/>
      <c r="P125" s="504">
        <f t="shared" si="3"/>
        <v>0</v>
      </c>
      <c r="Q125" s="504"/>
      <c r="R125" s="504"/>
    </row>
    <row r="126" spans="5:18" x14ac:dyDescent="0.3">
      <c r="E126" s="195" t="str">
        <f>IF(Dades!C716="","",Dades!C716)</f>
        <v/>
      </c>
      <c r="F126" s="397">
        <f>(DSUM('1_Combustibles fósiles'!$E$17:$N$39,"emisiones",'6.2_Resultados España'!E$71:E126)/1000)-SUM(F$72:F125)</f>
        <v>0</v>
      </c>
      <c r="G126" s="397">
        <f>(DSUM('2_Fluorados'!$E$11:$P$33,"emisiones",'6.2_Resultados España'!E$71:E126)/1000)-SUM(G$72:G125)</f>
        <v>0</v>
      </c>
      <c r="H126" s="503">
        <f>(DSUM('3_Emisiones proceso'!$E$13:$L$35,"emisiones",'6.2_Resultados España'!E$71:E126)/1000)-SUM(H$72:H125)</f>
        <v>0</v>
      </c>
      <c r="I126" s="503"/>
      <c r="J126" s="504">
        <f t="shared" si="2"/>
        <v>0</v>
      </c>
      <c r="K126" s="504"/>
      <c r="L126" s="504"/>
      <c r="M126" s="504"/>
      <c r="N126" s="503">
        <f>(DSUM('4.2_Electricidad España'!$E$19:$J$41,"emisiones",'6.2_Resultados España'!E$71:E126)/1000)-SUM(N$72:N125)</f>
        <v>0</v>
      </c>
      <c r="O126" s="503"/>
      <c r="P126" s="504">
        <f t="shared" si="3"/>
        <v>0</v>
      </c>
      <c r="Q126" s="504"/>
      <c r="R126" s="504"/>
    </row>
    <row r="127" spans="5:18" x14ac:dyDescent="0.3">
      <c r="E127" s="195" t="str">
        <f>IF(Dades!C717="","",Dades!C717)</f>
        <v/>
      </c>
      <c r="F127" s="397">
        <f>(DSUM('1_Combustibles fósiles'!$E$17:$N$39,"emisiones",'6.2_Resultados España'!E$71:E127)/1000)-SUM(F$72:F126)</f>
        <v>0</v>
      </c>
      <c r="G127" s="397">
        <f>(DSUM('2_Fluorados'!$E$11:$P$33,"emisiones",'6.2_Resultados España'!E$71:E127)/1000)-SUM(G$72:G126)</f>
        <v>0</v>
      </c>
      <c r="H127" s="503">
        <f>(DSUM('3_Emisiones proceso'!$E$13:$L$35,"emisiones",'6.2_Resultados España'!E$71:E127)/1000)-SUM(H$72:H126)</f>
        <v>0</v>
      </c>
      <c r="I127" s="503"/>
      <c r="J127" s="504">
        <f t="shared" si="2"/>
        <v>0</v>
      </c>
      <c r="K127" s="504"/>
      <c r="L127" s="504"/>
      <c r="M127" s="504"/>
      <c r="N127" s="503">
        <f>(DSUM('4.2_Electricidad España'!$E$19:$J$41,"emisiones",'6.2_Resultados España'!E$71:E127)/1000)-SUM(N$72:N126)</f>
        <v>0</v>
      </c>
      <c r="O127" s="503"/>
      <c r="P127" s="504">
        <f t="shared" si="3"/>
        <v>0</v>
      </c>
      <c r="Q127" s="504"/>
      <c r="R127" s="504"/>
    </row>
    <row r="128" spans="5:18" x14ac:dyDescent="0.3">
      <c r="E128" s="195" t="str">
        <f>IF(Dades!C718="","",Dades!C718)</f>
        <v/>
      </c>
      <c r="F128" s="397">
        <f>(DSUM('1_Combustibles fósiles'!$E$17:$N$39,"emisiones",'6.2_Resultados España'!E$71:E128)/1000)-SUM(F$72:F127)</f>
        <v>0</v>
      </c>
      <c r="G128" s="397">
        <f>(DSUM('2_Fluorados'!$E$11:$P$33,"emisiones",'6.2_Resultados España'!E$71:E128)/1000)-SUM(G$72:G127)</f>
        <v>0</v>
      </c>
      <c r="H128" s="503">
        <f>(DSUM('3_Emisiones proceso'!$E$13:$L$35,"emisiones",'6.2_Resultados España'!E$71:E128)/1000)-SUM(H$72:H127)</f>
        <v>0</v>
      </c>
      <c r="I128" s="503"/>
      <c r="J128" s="504">
        <f t="shared" si="2"/>
        <v>0</v>
      </c>
      <c r="K128" s="504"/>
      <c r="L128" s="504"/>
      <c r="M128" s="504"/>
      <c r="N128" s="503">
        <f>(DSUM('4.2_Electricidad España'!$E$19:$J$41,"emisiones",'6.2_Resultados España'!E$71:E128)/1000)-SUM(N$72:N127)</f>
        <v>0</v>
      </c>
      <c r="O128" s="503"/>
      <c r="P128" s="504">
        <f t="shared" si="3"/>
        <v>0</v>
      </c>
      <c r="Q128" s="504"/>
      <c r="R128" s="504"/>
    </row>
    <row r="129" spans="5:18" x14ac:dyDescent="0.3">
      <c r="E129" s="195" t="str">
        <f>IF(Dades!C719="","",Dades!C719)</f>
        <v/>
      </c>
      <c r="F129" s="397">
        <f>(DSUM('1_Combustibles fósiles'!$E$17:$N$39,"emisiones",'6.2_Resultados España'!E$71:E129)/1000)-SUM(F$72:F128)</f>
        <v>0</v>
      </c>
      <c r="G129" s="397">
        <f>(DSUM('2_Fluorados'!$E$11:$P$33,"emisiones",'6.2_Resultados España'!E$71:E129)/1000)-SUM(G$72:G128)</f>
        <v>0</v>
      </c>
      <c r="H129" s="503">
        <f>(DSUM('3_Emisiones proceso'!$E$13:$L$35,"emisiones",'6.2_Resultados España'!E$71:E129)/1000)-SUM(H$72:H128)</f>
        <v>0</v>
      </c>
      <c r="I129" s="503"/>
      <c r="J129" s="504">
        <f t="shared" si="2"/>
        <v>0</v>
      </c>
      <c r="K129" s="504"/>
      <c r="L129" s="504"/>
      <c r="M129" s="504"/>
      <c r="N129" s="503">
        <f>(DSUM('4.2_Electricidad España'!$E$19:$J$41,"emisiones",'6.2_Resultados España'!E$71:E129)/1000)-SUM(N$72:N128)</f>
        <v>0</v>
      </c>
      <c r="O129" s="503"/>
      <c r="P129" s="504">
        <f t="shared" si="3"/>
        <v>0</v>
      </c>
      <c r="Q129" s="504"/>
      <c r="R129" s="504"/>
    </row>
    <row r="130" spans="5:18" x14ac:dyDescent="0.3">
      <c r="E130" s="195" t="str">
        <f>IF(Dades!C720="","",Dades!C720)</f>
        <v/>
      </c>
      <c r="F130" s="397">
        <f>(DSUM('1_Combustibles fósiles'!$E$17:$N$39,"emisiones",'6.2_Resultados España'!E$71:E130)/1000)-SUM(F$72:F129)</f>
        <v>0</v>
      </c>
      <c r="G130" s="397">
        <f>(DSUM('2_Fluorados'!$E$11:$P$33,"emisiones",'6.2_Resultados España'!E$71:E130)/1000)-SUM(G$72:G129)</f>
        <v>0</v>
      </c>
      <c r="H130" s="503">
        <f>(DSUM('3_Emisiones proceso'!$E$13:$L$35,"emisiones",'6.2_Resultados España'!E$71:E130)/1000)-SUM(H$72:H129)</f>
        <v>0</v>
      </c>
      <c r="I130" s="503"/>
      <c r="J130" s="504">
        <f t="shared" si="2"/>
        <v>0</v>
      </c>
      <c r="K130" s="504"/>
      <c r="L130" s="504"/>
      <c r="M130" s="504"/>
      <c r="N130" s="503">
        <f>(DSUM('4.2_Electricidad España'!$E$19:$J$41,"emisiones",'6.2_Resultados España'!E$71:E130)/1000)-SUM(N$72:N129)</f>
        <v>0</v>
      </c>
      <c r="O130" s="503"/>
      <c r="P130" s="504">
        <f t="shared" si="3"/>
        <v>0</v>
      </c>
      <c r="Q130" s="504"/>
      <c r="R130" s="504"/>
    </row>
    <row r="131" spans="5:18" x14ac:dyDescent="0.3">
      <c r="E131" s="195" t="str">
        <f>IF(Dades!C721="","",Dades!C721)</f>
        <v/>
      </c>
      <c r="F131" s="397">
        <f>(DSUM('1_Combustibles fósiles'!$E$17:$N$39,"emisiones",'6.2_Resultados España'!E$71:E131)/1000)-SUM(F$72:F130)</f>
        <v>0</v>
      </c>
      <c r="G131" s="397">
        <f>(DSUM('2_Fluorados'!$E$11:$P$33,"emisiones",'6.2_Resultados España'!E$71:E131)/1000)-SUM(G$72:G130)</f>
        <v>0</v>
      </c>
      <c r="H131" s="503">
        <f>(DSUM('3_Emisiones proceso'!$E$13:$L$35,"emisiones",'6.2_Resultados España'!E$71:E131)/1000)-SUM(H$72:H130)</f>
        <v>0</v>
      </c>
      <c r="I131" s="503"/>
      <c r="J131" s="504">
        <f t="shared" si="2"/>
        <v>0</v>
      </c>
      <c r="K131" s="504"/>
      <c r="L131" s="504"/>
      <c r="M131" s="504"/>
      <c r="N131" s="503">
        <f>(DSUM('4.2_Electricidad España'!$E$19:$J$41,"emisiones",'6.2_Resultados España'!E$71:E131)/1000)-SUM(N$72:N130)</f>
        <v>0</v>
      </c>
      <c r="O131" s="503"/>
      <c r="P131" s="504">
        <f t="shared" si="3"/>
        <v>0</v>
      </c>
      <c r="Q131" s="504"/>
      <c r="R131" s="504"/>
    </row>
    <row r="132" spans="5:18" x14ac:dyDescent="0.3">
      <c r="E132" s="195" t="str">
        <f>IF(Dades!C722="","",Dades!C722)</f>
        <v/>
      </c>
      <c r="F132" s="397">
        <f>(DSUM('1_Combustibles fósiles'!$E$17:$N$39,"emisiones",'6.2_Resultados España'!E$71:E132)/1000)-SUM(F$72:F131)</f>
        <v>0</v>
      </c>
      <c r="G132" s="397">
        <f>(DSUM('2_Fluorados'!$E$11:$P$33,"emisiones",'6.2_Resultados España'!E$71:E132)/1000)-SUM(G$72:G131)</f>
        <v>0</v>
      </c>
      <c r="H132" s="503">
        <f>(DSUM('3_Emisiones proceso'!$E$13:$L$35,"emisiones",'6.2_Resultados España'!E$71:E132)/1000)-SUM(H$72:H131)</f>
        <v>0</v>
      </c>
      <c r="I132" s="503"/>
      <c r="J132" s="504">
        <f t="shared" si="2"/>
        <v>0</v>
      </c>
      <c r="K132" s="504"/>
      <c r="L132" s="504"/>
      <c r="M132" s="504"/>
      <c r="N132" s="503">
        <f>(DSUM('4.2_Electricidad España'!$E$19:$J$41,"emisiones",'6.2_Resultados España'!E$71:E132)/1000)-SUM(N$72:N131)</f>
        <v>0</v>
      </c>
      <c r="O132" s="503"/>
      <c r="P132" s="504">
        <f t="shared" si="3"/>
        <v>0</v>
      </c>
      <c r="Q132" s="504"/>
      <c r="R132" s="504"/>
    </row>
    <row r="133" spans="5:18" x14ac:dyDescent="0.3">
      <c r="E133" s="195" t="str">
        <f>IF(Dades!C723="","",Dades!C723)</f>
        <v/>
      </c>
      <c r="F133" s="397">
        <f>(DSUM('1_Combustibles fósiles'!$E$17:$N$39,"emisiones",'6.2_Resultados España'!E$71:E133)/1000)-SUM(F$72:F132)</f>
        <v>0</v>
      </c>
      <c r="G133" s="397">
        <f>(DSUM('2_Fluorados'!$E$11:$P$33,"emisiones",'6.2_Resultados España'!E$71:E133)/1000)-SUM(G$72:G132)</f>
        <v>0</v>
      </c>
      <c r="H133" s="503">
        <f>(DSUM('3_Emisiones proceso'!$E$13:$L$35,"emisiones",'6.2_Resultados España'!E$71:E133)/1000)-SUM(H$72:H132)</f>
        <v>0</v>
      </c>
      <c r="I133" s="503"/>
      <c r="J133" s="504">
        <f t="shared" si="2"/>
        <v>0</v>
      </c>
      <c r="K133" s="504"/>
      <c r="L133" s="504"/>
      <c r="M133" s="504"/>
      <c r="N133" s="503">
        <f>(DSUM('4.2_Electricidad España'!$E$19:$J$41,"emisiones",'6.2_Resultados España'!E$71:E133)/1000)-SUM(N$72:N132)</f>
        <v>0</v>
      </c>
      <c r="O133" s="503"/>
      <c r="P133" s="504">
        <f t="shared" si="3"/>
        <v>0</v>
      </c>
      <c r="Q133" s="504"/>
      <c r="R133" s="504"/>
    </row>
    <row r="134" spans="5:18" x14ac:dyDescent="0.3">
      <c r="E134" s="195" t="str">
        <f>IF(Dades!C724="","",Dades!C724)</f>
        <v/>
      </c>
      <c r="F134" s="397">
        <f>(DSUM('1_Combustibles fósiles'!$E$17:$N$39,"emisiones",'6.2_Resultados España'!E$71:E134)/1000)-SUM(F$72:F133)</f>
        <v>0</v>
      </c>
      <c r="G134" s="397">
        <f>(DSUM('2_Fluorados'!$E$11:$P$33,"emisiones",'6.2_Resultados España'!E$71:E134)/1000)-SUM(G$72:G133)</f>
        <v>0</v>
      </c>
      <c r="H134" s="503">
        <f>(DSUM('3_Emisiones proceso'!$E$13:$L$35,"emisiones",'6.2_Resultados España'!E$71:E134)/1000)-SUM(H$72:H133)</f>
        <v>0</v>
      </c>
      <c r="I134" s="503"/>
      <c r="J134" s="504">
        <f t="shared" si="2"/>
        <v>0</v>
      </c>
      <c r="K134" s="504"/>
      <c r="L134" s="504"/>
      <c r="M134" s="504"/>
      <c r="N134" s="503">
        <f>(DSUM('4.2_Electricidad España'!$E$19:$J$41,"emisiones",'6.2_Resultados España'!E$71:E134)/1000)-SUM(N$72:N133)</f>
        <v>0</v>
      </c>
      <c r="O134" s="503"/>
      <c r="P134" s="504">
        <f t="shared" si="3"/>
        <v>0</v>
      </c>
      <c r="Q134" s="504"/>
      <c r="R134" s="504"/>
    </row>
    <row r="135" spans="5:18" x14ac:dyDescent="0.3">
      <c r="E135" s="195" t="str">
        <f>IF(Dades!C725="","",Dades!C725)</f>
        <v/>
      </c>
      <c r="F135" s="397">
        <f>(DSUM('1_Combustibles fósiles'!$E$17:$N$39,"emisiones",'6.2_Resultados España'!E$71:E135)/1000)-SUM(F$72:F134)</f>
        <v>0</v>
      </c>
      <c r="G135" s="397">
        <f>(DSUM('2_Fluorados'!$E$11:$P$33,"emisiones",'6.2_Resultados España'!E$71:E135)/1000)-SUM(G$72:G134)</f>
        <v>0</v>
      </c>
      <c r="H135" s="503">
        <f>(DSUM('3_Emisiones proceso'!$E$13:$L$35,"emisiones",'6.2_Resultados España'!E$71:E135)/1000)-SUM(H$72:H134)</f>
        <v>0</v>
      </c>
      <c r="I135" s="503"/>
      <c r="J135" s="504">
        <f t="shared" si="2"/>
        <v>0</v>
      </c>
      <c r="K135" s="504"/>
      <c r="L135" s="504"/>
      <c r="M135" s="504"/>
      <c r="N135" s="503">
        <f>(DSUM('4.2_Electricidad España'!$E$19:$J$41,"emisiones",'6.2_Resultados España'!E$71:E135)/1000)-SUM(N$72:N134)</f>
        <v>0</v>
      </c>
      <c r="O135" s="503"/>
      <c r="P135" s="504">
        <f t="shared" si="3"/>
        <v>0</v>
      </c>
      <c r="Q135" s="504"/>
      <c r="R135" s="504"/>
    </row>
    <row r="136" spans="5:18" x14ac:dyDescent="0.3">
      <c r="E136" s="195" t="str">
        <f>IF(Dades!C726="","",Dades!C726)</f>
        <v/>
      </c>
      <c r="F136" s="397">
        <f>(DSUM('1_Combustibles fósiles'!$E$17:$N$39,"emisiones",'6.2_Resultados España'!E$71:E136)/1000)-SUM(F$72:F135)</f>
        <v>0</v>
      </c>
      <c r="G136" s="397">
        <f>(DSUM('2_Fluorados'!$E$11:$P$33,"emisiones",'6.2_Resultados España'!E$71:E136)/1000)-SUM(G$72:G135)</f>
        <v>0</v>
      </c>
      <c r="H136" s="503">
        <f>(DSUM('3_Emisiones proceso'!$E$13:$L$35,"emisiones",'6.2_Resultados España'!E$71:E136)/1000)-SUM(H$72:H135)</f>
        <v>0</v>
      </c>
      <c r="I136" s="503"/>
      <c r="J136" s="504">
        <f t="shared" si="2"/>
        <v>0</v>
      </c>
      <c r="K136" s="504"/>
      <c r="L136" s="504"/>
      <c r="M136" s="504"/>
      <c r="N136" s="503">
        <f>(DSUM('4.2_Electricidad España'!$E$19:$J$41,"emisiones",'6.2_Resultados España'!E$71:E136)/1000)-SUM(N$72:N135)</f>
        <v>0</v>
      </c>
      <c r="O136" s="503"/>
      <c r="P136" s="504">
        <f t="shared" si="3"/>
        <v>0</v>
      </c>
      <c r="Q136" s="504"/>
      <c r="R136" s="504"/>
    </row>
    <row r="137" spans="5:18" x14ac:dyDescent="0.3">
      <c r="E137" s="195" t="str">
        <f>IF(Dades!C727="","",Dades!C727)</f>
        <v/>
      </c>
      <c r="F137" s="397">
        <f>(DSUM('1_Combustibles fósiles'!$E$17:$N$39,"emisiones",'6.2_Resultados España'!E$71:E137)/1000)-SUM(F$72:F136)</f>
        <v>0</v>
      </c>
      <c r="G137" s="397">
        <f>(DSUM('2_Fluorados'!$E$11:$P$33,"emisiones",'6.2_Resultados España'!E$71:E137)/1000)-SUM(G$72:G136)</f>
        <v>0</v>
      </c>
      <c r="H137" s="503">
        <f>(DSUM('3_Emisiones proceso'!$E$13:$L$35,"emisiones",'6.2_Resultados España'!E$71:E137)/1000)-SUM(H$72:H136)</f>
        <v>0</v>
      </c>
      <c r="I137" s="503"/>
      <c r="J137" s="504">
        <f t="shared" si="2"/>
        <v>0</v>
      </c>
      <c r="K137" s="504"/>
      <c r="L137" s="504"/>
      <c r="M137" s="504"/>
      <c r="N137" s="503">
        <f>(DSUM('4.2_Electricidad España'!$E$19:$J$41,"emisiones",'6.2_Resultados España'!E$71:E137)/1000)-SUM(N$72:N136)</f>
        <v>0</v>
      </c>
      <c r="O137" s="503"/>
      <c r="P137" s="504">
        <f t="shared" si="3"/>
        <v>0</v>
      </c>
      <c r="Q137" s="504"/>
      <c r="R137" s="504"/>
    </row>
    <row r="138" spans="5:18" x14ac:dyDescent="0.3">
      <c r="E138" s="195" t="str">
        <f>IF(Dades!C728="","",Dades!C728)</f>
        <v/>
      </c>
      <c r="F138" s="397">
        <f>(DSUM('1_Combustibles fósiles'!$E$17:$N$39,"emisiones",'6.2_Resultados España'!E$71:E138)/1000)-SUM(F$72:F137)</f>
        <v>0</v>
      </c>
      <c r="G138" s="397">
        <f>(DSUM('2_Fluorados'!$E$11:$P$33,"emisiones",'6.2_Resultados España'!E$71:E138)/1000)-SUM(G$72:G137)</f>
        <v>0</v>
      </c>
      <c r="H138" s="503">
        <f>(DSUM('3_Emisiones proceso'!$E$13:$L$35,"emisiones",'6.2_Resultados España'!E$71:E138)/1000)-SUM(H$72:H137)</f>
        <v>0</v>
      </c>
      <c r="I138" s="503"/>
      <c r="J138" s="504">
        <f t="shared" ref="J138:J201" si="4">SUM(F138:I138)</f>
        <v>0</v>
      </c>
      <c r="K138" s="504"/>
      <c r="L138" s="504"/>
      <c r="M138" s="504"/>
      <c r="N138" s="503">
        <f>(DSUM('4.2_Electricidad España'!$E$19:$J$41,"emisiones",'6.2_Resultados España'!E$71:E138)/1000)-SUM(N$72:N137)</f>
        <v>0</v>
      </c>
      <c r="O138" s="503"/>
      <c r="P138" s="504">
        <f t="shared" ref="P138:P201" si="5">J138+N138</f>
        <v>0</v>
      </c>
      <c r="Q138" s="504"/>
      <c r="R138" s="504"/>
    </row>
    <row r="139" spans="5:18" x14ac:dyDescent="0.3">
      <c r="E139" s="195" t="str">
        <f>IF(Dades!C729="","",Dades!C729)</f>
        <v/>
      </c>
      <c r="F139" s="397">
        <f>(DSUM('1_Combustibles fósiles'!$E$17:$N$39,"emisiones",'6.2_Resultados España'!E$71:E139)/1000)-SUM(F$72:F138)</f>
        <v>0</v>
      </c>
      <c r="G139" s="397">
        <f>(DSUM('2_Fluorados'!$E$11:$P$33,"emisiones",'6.2_Resultados España'!E$71:E139)/1000)-SUM(G$72:G138)</f>
        <v>0</v>
      </c>
      <c r="H139" s="503">
        <f>(DSUM('3_Emisiones proceso'!$E$13:$L$35,"emisiones",'6.2_Resultados España'!E$71:E139)/1000)-SUM(H$72:H138)</f>
        <v>0</v>
      </c>
      <c r="I139" s="503"/>
      <c r="J139" s="504">
        <f t="shared" si="4"/>
        <v>0</v>
      </c>
      <c r="K139" s="504"/>
      <c r="L139" s="504"/>
      <c r="M139" s="504"/>
      <c r="N139" s="503">
        <f>(DSUM('4.2_Electricidad España'!$E$19:$J$41,"emisiones",'6.2_Resultados España'!E$71:E139)/1000)-SUM(N$72:N138)</f>
        <v>0</v>
      </c>
      <c r="O139" s="503"/>
      <c r="P139" s="504">
        <f t="shared" si="5"/>
        <v>0</v>
      </c>
      <c r="Q139" s="504"/>
      <c r="R139" s="504"/>
    </row>
    <row r="140" spans="5:18" x14ac:dyDescent="0.3">
      <c r="E140" s="195" t="str">
        <f>IF(Dades!C730="","",Dades!C730)</f>
        <v/>
      </c>
      <c r="F140" s="397">
        <f>(DSUM('1_Combustibles fósiles'!$E$17:$N$39,"emisiones",'6.2_Resultados España'!E$71:E140)/1000)-SUM(F$72:F139)</f>
        <v>0</v>
      </c>
      <c r="G140" s="397">
        <f>(DSUM('2_Fluorados'!$E$11:$P$33,"emisiones",'6.2_Resultados España'!E$71:E140)/1000)-SUM(G$72:G139)</f>
        <v>0</v>
      </c>
      <c r="H140" s="503">
        <f>(DSUM('3_Emisiones proceso'!$E$13:$L$35,"emisiones",'6.2_Resultados España'!E$71:E140)/1000)-SUM(H$72:H139)</f>
        <v>0</v>
      </c>
      <c r="I140" s="503"/>
      <c r="J140" s="504">
        <f t="shared" si="4"/>
        <v>0</v>
      </c>
      <c r="K140" s="504"/>
      <c r="L140" s="504"/>
      <c r="M140" s="504"/>
      <c r="N140" s="503">
        <f>(DSUM('4.2_Electricidad España'!$E$19:$J$41,"emisiones",'6.2_Resultados España'!E$71:E140)/1000)-SUM(N$72:N139)</f>
        <v>0</v>
      </c>
      <c r="O140" s="503"/>
      <c r="P140" s="504">
        <f t="shared" si="5"/>
        <v>0</v>
      </c>
      <c r="Q140" s="504"/>
      <c r="R140" s="504"/>
    </row>
    <row r="141" spans="5:18" x14ac:dyDescent="0.3">
      <c r="E141" s="195" t="str">
        <f>IF(Dades!C731="","",Dades!C731)</f>
        <v/>
      </c>
      <c r="F141" s="397">
        <f>(DSUM('1_Combustibles fósiles'!$E$17:$N$39,"emisiones",'6.2_Resultados España'!E$71:E141)/1000)-SUM(F$72:F140)</f>
        <v>0</v>
      </c>
      <c r="G141" s="397">
        <f>(DSUM('2_Fluorados'!$E$11:$P$33,"emisiones",'6.2_Resultados España'!E$71:E141)/1000)-SUM(G$72:G140)</f>
        <v>0</v>
      </c>
      <c r="H141" s="503">
        <f>(DSUM('3_Emisiones proceso'!$E$13:$L$35,"emisiones",'6.2_Resultados España'!E$71:E141)/1000)-SUM(H$72:H140)</f>
        <v>0</v>
      </c>
      <c r="I141" s="503"/>
      <c r="J141" s="504">
        <f t="shared" si="4"/>
        <v>0</v>
      </c>
      <c r="K141" s="504"/>
      <c r="L141" s="504"/>
      <c r="M141" s="504"/>
      <c r="N141" s="503">
        <f>(DSUM('4.2_Electricidad España'!$E$19:$J$41,"emisiones",'6.2_Resultados España'!E$71:E141)/1000)-SUM(N$72:N140)</f>
        <v>0</v>
      </c>
      <c r="O141" s="503"/>
      <c r="P141" s="504">
        <f t="shared" si="5"/>
        <v>0</v>
      </c>
      <c r="Q141" s="504"/>
      <c r="R141" s="504"/>
    </row>
    <row r="142" spans="5:18" x14ac:dyDescent="0.3">
      <c r="E142" s="195" t="str">
        <f>IF(Dades!C732="","",Dades!C732)</f>
        <v/>
      </c>
      <c r="F142" s="397">
        <f>(DSUM('1_Combustibles fósiles'!$E$17:$N$39,"emisiones",'6.2_Resultados España'!E$71:E142)/1000)-SUM(F$72:F141)</f>
        <v>0</v>
      </c>
      <c r="G142" s="397">
        <f>(DSUM('2_Fluorados'!$E$11:$P$33,"emisiones",'6.2_Resultados España'!E$71:E142)/1000)-SUM(G$72:G141)</f>
        <v>0</v>
      </c>
      <c r="H142" s="503">
        <f>(DSUM('3_Emisiones proceso'!$E$13:$L$35,"emisiones",'6.2_Resultados España'!E$71:E142)/1000)-SUM(H$72:H141)</f>
        <v>0</v>
      </c>
      <c r="I142" s="503"/>
      <c r="J142" s="504">
        <f t="shared" si="4"/>
        <v>0</v>
      </c>
      <c r="K142" s="504"/>
      <c r="L142" s="504"/>
      <c r="M142" s="504"/>
      <c r="N142" s="503">
        <f>(DSUM('4.2_Electricidad España'!$E$19:$J$41,"emisiones",'6.2_Resultados España'!E$71:E142)/1000)-SUM(N$72:N141)</f>
        <v>0</v>
      </c>
      <c r="O142" s="503"/>
      <c r="P142" s="504">
        <f t="shared" si="5"/>
        <v>0</v>
      </c>
      <c r="Q142" s="504"/>
      <c r="R142" s="504"/>
    </row>
    <row r="143" spans="5:18" x14ac:dyDescent="0.3">
      <c r="E143" s="195" t="str">
        <f>IF(Dades!C733="","",Dades!C733)</f>
        <v/>
      </c>
      <c r="F143" s="397">
        <f>(DSUM('1_Combustibles fósiles'!$E$17:$N$39,"emisiones",'6.2_Resultados España'!E$71:E143)/1000)-SUM(F$72:F142)</f>
        <v>0</v>
      </c>
      <c r="G143" s="397">
        <f>(DSUM('2_Fluorados'!$E$11:$P$33,"emisiones",'6.2_Resultados España'!E$71:E143)/1000)-SUM(G$72:G142)</f>
        <v>0</v>
      </c>
      <c r="H143" s="503">
        <f>(DSUM('3_Emisiones proceso'!$E$13:$L$35,"emisiones",'6.2_Resultados España'!E$71:E143)/1000)-SUM(H$72:H142)</f>
        <v>0</v>
      </c>
      <c r="I143" s="503"/>
      <c r="J143" s="504">
        <f t="shared" si="4"/>
        <v>0</v>
      </c>
      <c r="K143" s="504"/>
      <c r="L143" s="504"/>
      <c r="M143" s="504"/>
      <c r="N143" s="503">
        <f>(DSUM('4.2_Electricidad España'!$E$19:$J$41,"emisiones",'6.2_Resultados España'!E$71:E143)/1000)-SUM(N$72:N142)</f>
        <v>0</v>
      </c>
      <c r="O143" s="503"/>
      <c r="P143" s="504">
        <f t="shared" si="5"/>
        <v>0</v>
      </c>
      <c r="Q143" s="504"/>
      <c r="R143" s="504"/>
    </row>
    <row r="144" spans="5:18" x14ac:dyDescent="0.3">
      <c r="E144" s="195" t="str">
        <f>IF(Dades!C734="","",Dades!C734)</f>
        <v/>
      </c>
      <c r="F144" s="397">
        <f>(DSUM('1_Combustibles fósiles'!$E$17:$N$39,"emisiones",'6.2_Resultados España'!E$71:E144)/1000)-SUM(F$72:F143)</f>
        <v>0</v>
      </c>
      <c r="G144" s="397">
        <f>(DSUM('2_Fluorados'!$E$11:$P$33,"emisiones",'6.2_Resultados España'!E$71:E144)/1000)-SUM(G$72:G143)</f>
        <v>0</v>
      </c>
      <c r="H144" s="503">
        <f>(DSUM('3_Emisiones proceso'!$E$13:$L$35,"emisiones",'6.2_Resultados España'!E$71:E144)/1000)-SUM(H$72:H143)</f>
        <v>0</v>
      </c>
      <c r="I144" s="503"/>
      <c r="J144" s="504">
        <f t="shared" si="4"/>
        <v>0</v>
      </c>
      <c r="K144" s="504"/>
      <c r="L144" s="504"/>
      <c r="M144" s="504"/>
      <c r="N144" s="503">
        <f>(DSUM('4.2_Electricidad España'!$E$19:$J$41,"emisiones",'6.2_Resultados España'!E$71:E144)/1000)-SUM(N$72:N143)</f>
        <v>0</v>
      </c>
      <c r="O144" s="503"/>
      <c r="P144" s="504">
        <f t="shared" si="5"/>
        <v>0</v>
      </c>
      <c r="Q144" s="504"/>
      <c r="R144" s="504"/>
    </row>
    <row r="145" spans="5:18" x14ac:dyDescent="0.3">
      <c r="E145" s="195" t="str">
        <f>IF(Dades!C735="","",Dades!C735)</f>
        <v/>
      </c>
      <c r="F145" s="397">
        <f>(DSUM('1_Combustibles fósiles'!$E$17:$N$39,"emisiones",'6.2_Resultados España'!E$71:E145)/1000)-SUM(F$72:F144)</f>
        <v>0</v>
      </c>
      <c r="G145" s="397">
        <f>(DSUM('2_Fluorados'!$E$11:$P$33,"emisiones",'6.2_Resultados España'!E$71:E145)/1000)-SUM(G$72:G144)</f>
        <v>0</v>
      </c>
      <c r="H145" s="503">
        <f>(DSUM('3_Emisiones proceso'!$E$13:$L$35,"emisiones",'6.2_Resultados España'!E$71:E145)/1000)-SUM(H$72:H144)</f>
        <v>0</v>
      </c>
      <c r="I145" s="503"/>
      <c r="J145" s="504">
        <f t="shared" si="4"/>
        <v>0</v>
      </c>
      <c r="K145" s="504"/>
      <c r="L145" s="504"/>
      <c r="M145" s="504"/>
      <c r="N145" s="503">
        <f>(DSUM('4.2_Electricidad España'!$E$19:$J$41,"emisiones",'6.2_Resultados España'!E$71:E145)/1000)-SUM(N$72:N144)</f>
        <v>0</v>
      </c>
      <c r="O145" s="503"/>
      <c r="P145" s="504">
        <f t="shared" si="5"/>
        <v>0</v>
      </c>
      <c r="Q145" s="504"/>
      <c r="R145" s="504"/>
    </row>
    <row r="146" spans="5:18" x14ac:dyDescent="0.3">
      <c r="E146" s="195" t="str">
        <f>IF(Dades!C736="","",Dades!C736)</f>
        <v/>
      </c>
      <c r="F146" s="397">
        <f>(DSUM('1_Combustibles fósiles'!$E$17:$N$39,"emisiones",'6.2_Resultados España'!E$71:E146)/1000)-SUM(F$72:F145)</f>
        <v>0</v>
      </c>
      <c r="G146" s="397">
        <f>(DSUM('2_Fluorados'!$E$11:$P$33,"emisiones",'6.2_Resultados España'!E$71:E146)/1000)-SUM(G$72:G145)</f>
        <v>0</v>
      </c>
      <c r="H146" s="503">
        <f>(DSUM('3_Emisiones proceso'!$E$13:$L$35,"emisiones",'6.2_Resultados España'!E$71:E146)/1000)-SUM(H$72:H145)</f>
        <v>0</v>
      </c>
      <c r="I146" s="503"/>
      <c r="J146" s="504">
        <f t="shared" si="4"/>
        <v>0</v>
      </c>
      <c r="K146" s="504"/>
      <c r="L146" s="504"/>
      <c r="M146" s="504"/>
      <c r="N146" s="503">
        <f>(DSUM('4.2_Electricidad España'!$E$19:$J$41,"emisiones",'6.2_Resultados España'!E$71:E146)/1000)-SUM(N$72:N145)</f>
        <v>0</v>
      </c>
      <c r="O146" s="503"/>
      <c r="P146" s="504">
        <f t="shared" si="5"/>
        <v>0</v>
      </c>
      <c r="Q146" s="504"/>
      <c r="R146" s="504"/>
    </row>
    <row r="147" spans="5:18" x14ac:dyDescent="0.3">
      <c r="E147" s="195" t="str">
        <f>IF(Dades!C737="","",Dades!C737)</f>
        <v/>
      </c>
      <c r="F147" s="397">
        <f>(DSUM('1_Combustibles fósiles'!$E$17:$N$39,"emisiones",'6.2_Resultados España'!E$71:E147)/1000)-SUM(F$72:F146)</f>
        <v>0</v>
      </c>
      <c r="G147" s="397">
        <f>(DSUM('2_Fluorados'!$E$11:$P$33,"emisiones",'6.2_Resultados España'!E$71:E147)/1000)-SUM(G$72:G146)</f>
        <v>0</v>
      </c>
      <c r="H147" s="503">
        <f>(DSUM('3_Emisiones proceso'!$E$13:$L$35,"emisiones",'6.2_Resultados España'!E$71:E147)/1000)-SUM(H$72:H146)</f>
        <v>0</v>
      </c>
      <c r="I147" s="503"/>
      <c r="J147" s="504">
        <f t="shared" si="4"/>
        <v>0</v>
      </c>
      <c r="K147" s="504"/>
      <c r="L147" s="504"/>
      <c r="M147" s="504"/>
      <c r="N147" s="503">
        <f>(DSUM('4.2_Electricidad España'!$E$19:$J$41,"emisiones",'6.2_Resultados España'!E$71:E147)/1000)-SUM(N$72:N146)</f>
        <v>0</v>
      </c>
      <c r="O147" s="503"/>
      <c r="P147" s="504">
        <f t="shared" si="5"/>
        <v>0</v>
      </c>
      <c r="Q147" s="504"/>
      <c r="R147" s="504"/>
    </row>
    <row r="148" spans="5:18" x14ac:dyDescent="0.3">
      <c r="E148" s="195" t="str">
        <f>IF(Dades!C738="","",Dades!C738)</f>
        <v/>
      </c>
      <c r="F148" s="397">
        <f>(DSUM('1_Combustibles fósiles'!$E$17:$N$39,"emisiones",'6.2_Resultados España'!E$71:E148)/1000)-SUM(F$72:F147)</f>
        <v>0</v>
      </c>
      <c r="G148" s="397">
        <f>(DSUM('2_Fluorados'!$E$11:$P$33,"emisiones",'6.2_Resultados España'!E$71:E148)/1000)-SUM(G$72:G147)</f>
        <v>0</v>
      </c>
      <c r="H148" s="503">
        <f>(DSUM('3_Emisiones proceso'!$E$13:$L$35,"emisiones",'6.2_Resultados España'!E$71:E148)/1000)-SUM(H$72:H147)</f>
        <v>0</v>
      </c>
      <c r="I148" s="503"/>
      <c r="J148" s="504">
        <f t="shared" si="4"/>
        <v>0</v>
      </c>
      <c r="K148" s="504"/>
      <c r="L148" s="504"/>
      <c r="M148" s="504"/>
      <c r="N148" s="503">
        <f>(DSUM('4.2_Electricidad España'!$E$19:$J$41,"emisiones",'6.2_Resultados España'!E$71:E148)/1000)-SUM(N$72:N147)</f>
        <v>0</v>
      </c>
      <c r="O148" s="503"/>
      <c r="P148" s="504">
        <f t="shared" si="5"/>
        <v>0</v>
      </c>
      <c r="Q148" s="504"/>
      <c r="R148" s="504"/>
    </row>
    <row r="149" spans="5:18" x14ac:dyDescent="0.3">
      <c r="E149" s="195" t="str">
        <f>IF(Dades!C739="","",Dades!C739)</f>
        <v/>
      </c>
      <c r="F149" s="397">
        <f>(DSUM('1_Combustibles fósiles'!$E$17:$N$39,"emisiones",'6.2_Resultados España'!E$71:E149)/1000)-SUM(F$72:F148)</f>
        <v>0</v>
      </c>
      <c r="G149" s="397">
        <f>(DSUM('2_Fluorados'!$E$11:$P$33,"emisiones",'6.2_Resultados España'!E$71:E149)/1000)-SUM(G$72:G148)</f>
        <v>0</v>
      </c>
      <c r="H149" s="503">
        <f>(DSUM('3_Emisiones proceso'!$E$13:$L$35,"emisiones",'6.2_Resultados España'!E$71:E149)/1000)-SUM(H$72:H148)</f>
        <v>0</v>
      </c>
      <c r="I149" s="503"/>
      <c r="J149" s="504">
        <f t="shared" si="4"/>
        <v>0</v>
      </c>
      <c r="K149" s="504"/>
      <c r="L149" s="504"/>
      <c r="M149" s="504"/>
      <c r="N149" s="503">
        <f>(DSUM('4.2_Electricidad España'!$E$19:$J$41,"emisiones",'6.2_Resultados España'!E$71:E149)/1000)-SUM(N$72:N148)</f>
        <v>0</v>
      </c>
      <c r="O149" s="503"/>
      <c r="P149" s="504">
        <f t="shared" si="5"/>
        <v>0</v>
      </c>
      <c r="Q149" s="504"/>
      <c r="R149" s="504"/>
    </row>
    <row r="150" spans="5:18" x14ac:dyDescent="0.3">
      <c r="E150" s="195" t="str">
        <f>IF(Dades!C740="","",Dades!C740)</f>
        <v/>
      </c>
      <c r="F150" s="397">
        <f>(DSUM('1_Combustibles fósiles'!$E$17:$N$39,"emisiones",'6.2_Resultados España'!E$71:E150)/1000)-SUM(F$72:F149)</f>
        <v>0</v>
      </c>
      <c r="G150" s="397">
        <f>(DSUM('2_Fluorados'!$E$11:$P$33,"emisiones",'6.2_Resultados España'!E$71:E150)/1000)-SUM(G$72:G149)</f>
        <v>0</v>
      </c>
      <c r="H150" s="503">
        <f>(DSUM('3_Emisiones proceso'!$E$13:$L$35,"emisiones",'6.2_Resultados España'!E$71:E150)/1000)-SUM(H$72:H149)</f>
        <v>0</v>
      </c>
      <c r="I150" s="503"/>
      <c r="J150" s="504">
        <f t="shared" si="4"/>
        <v>0</v>
      </c>
      <c r="K150" s="504"/>
      <c r="L150" s="504"/>
      <c r="M150" s="504"/>
      <c r="N150" s="503">
        <f>(DSUM('4.2_Electricidad España'!$E$19:$J$41,"emisiones",'6.2_Resultados España'!E$71:E150)/1000)-SUM(N$72:N149)</f>
        <v>0</v>
      </c>
      <c r="O150" s="503"/>
      <c r="P150" s="504">
        <f t="shared" si="5"/>
        <v>0</v>
      </c>
      <c r="Q150" s="504"/>
      <c r="R150" s="504"/>
    </row>
    <row r="151" spans="5:18" x14ac:dyDescent="0.3">
      <c r="E151" s="195" t="str">
        <f>IF(Dades!C741="","",Dades!C741)</f>
        <v/>
      </c>
      <c r="F151" s="397">
        <f>(DSUM('1_Combustibles fósiles'!$E$17:$N$39,"emisiones",'6.2_Resultados España'!E$71:E151)/1000)-SUM(F$72:F150)</f>
        <v>0</v>
      </c>
      <c r="G151" s="397">
        <f>(DSUM('2_Fluorados'!$E$11:$P$33,"emisiones",'6.2_Resultados España'!E$71:E151)/1000)-SUM(G$72:G150)</f>
        <v>0</v>
      </c>
      <c r="H151" s="503">
        <f>(DSUM('3_Emisiones proceso'!$E$13:$L$35,"emisiones",'6.2_Resultados España'!E$71:E151)/1000)-SUM(H$72:H150)</f>
        <v>0</v>
      </c>
      <c r="I151" s="503"/>
      <c r="J151" s="504">
        <f t="shared" si="4"/>
        <v>0</v>
      </c>
      <c r="K151" s="504"/>
      <c r="L151" s="504"/>
      <c r="M151" s="504"/>
      <c r="N151" s="503">
        <f>(DSUM('4.2_Electricidad España'!$E$19:$J$41,"emisiones",'6.2_Resultados España'!E$71:E151)/1000)-SUM(N$72:N150)</f>
        <v>0</v>
      </c>
      <c r="O151" s="503"/>
      <c r="P151" s="504">
        <f t="shared" si="5"/>
        <v>0</v>
      </c>
      <c r="Q151" s="504"/>
      <c r="R151" s="504"/>
    </row>
    <row r="152" spans="5:18" x14ac:dyDescent="0.3">
      <c r="E152" s="195" t="str">
        <f>IF(Dades!C742="","",Dades!C742)</f>
        <v/>
      </c>
      <c r="F152" s="397">
        <f>(DSUM('1_Combustibles fósiles'!$E$17:$N$39,"emisiones",'6.2_Resultados España'!E$71:E152)/1000)-SUM(F$72:F151)</f>
        <v>0</v>
      </c>
      <c r="G152" s="397">
        <f>(DSUM('2_Fluorados'!$E$11:$P$33,"emisiones",'6.2_Resultados España'!E$71:E152)/1000)-SUM(G$72:G151)</f>
        <v>0</v>
      </c>
      <c r="H152" s="503">
        <f>(DSUM('3_Emisiones proceso'!$E$13:$L$35,"emisiones",'6.2_Resultados España'!E$71:E152)/1000)-SUM(H$72:H151)</f>
        <v>0</v>
      </c>
      <c r="I152" s="503"/>
      <c r="J152" s="504">
        <f t="shared" si="4"/>
        <v>0</v>
      </c>
      <c r="K152" s="504"/>
      <c r="L152" s="504"/>
      <c r="M152" s="504"/>
      <c r="N152" s="503">
        <f>(DSUM('4.2_Electricidad España'!$E$19:$J$41,"emisiones",'6.2_Resultados España'!E$71:E152)/1000)-SUM(N$72:N151)</f>
        <v>0</v>
      </c>
      <c r="O152" s="503"/>
      <c r="P152" s="504">
        <f t="shared" si="5"/>
        <v>0</v>
      </c>
      <c r="Q152" s="504"/>
      <c r="R152" s="504"/>
    </row>
    <row r="153" spans="5:18" x14ac:dyDescent="0.3">
      <c r="E153" s="195" t="str">
        <f>IF(Dades!C743="","",Dades!C743)</f>
        <v/>
      </c>
      <c r="F153" s="397">
        <f>(DSUM('1_Combustibles fósiles'!$E$17:$N$39,"emisiones",'6.2_Resultados España'!E$71:E153)/1000)-SUM(F$72:F152)</f>
        <v>0</v>
      </c>
      <c r="G153" s="397">
        <f>(DSUM('2_Fluorados'!$E$11:$P$33,"emisiones",'6.2_Resultados España'!E$71:E153)/1000)-SUM(G$72:G152)</f>
        <v>0</v>
      </c>
      <c r="H153" s="503">
        <f>(DSUM('3_Emisiones proceso'!$E$13:$L$35,"emisiones",'6.2_Resultados España'!E$71:E153)/1000)-SUM(H$72:H152)</f>
        <v>0</v>
      </c>
      <c r="I153" s="503"/>
      <c r="J153" s="504">
        <f t="shared" si="4"/>
        <v>0</v>
      </c>
      <c r="K153" s="504"/>
      <c r="L153" s="504"/>
      <c r="M153" s="504"/>
      <c r="N153" s="503">
        <f>(DSUM('4.2_Electricidad España'!$E$19:$J$41,"emisiones",'6.2_Resultados España'!E$71:E153)/1000)-SUM(N$72:N152)</f>
        <v>0</v>
      </c>
      <c r="O153" s="503"/>
      <c r="P153" s="504">
        <f t="shared" si="5"/>
        <v>0</v>
      </c>
      <c r="Q153" s="504"/>
      <c r="R153" s="504"/>
    </row>
    <row r="154" spans="5:18" x14ac:dyDescent="0.3">
      <c r="E154" s="195" t="str">
        <f>IF(Dades!C744="","",Dades!C744)</f>
        <v/>
      </c>
      <c r="F154" s="397">
        <f>(DSUM('1_Combustibles fósiles'!$E$17:$N$39,"emisiones",'6.2_Resultados España'!E$71:E154)/1000)-SUM(F$72:F153)</f>
        <v>0</v>
      </c>
      <c r="G154" s="397">
        <f>(DSUM('2_Fluorados'!$E$11:$P$33,"emisiones",'6.2_Resultados España'!E$71:E154)/1000)-SUM(G$72:G153)</f>
        <v>0</v>
      </c>
      <c r="H154" s="503">
        <f>(DSUM('3_Emisiones proceso'!$E$13:$L$35,"emisiones",'6.2_Resultados España'!E$71:E154)/1000)-SUM(H$72:H153)</f>
        <v>0</v>
      </c>
      <c r="I154" s="503"/>
      <c r="J154" s="504">
        <f t="shared" si="4"/>
        <v>0</v>
      </c>
      <c r="K154" s="504"/>
      <c r="L154" s="504"/>
      <c r="M154" s="504"/>
      <c r="N154" s="503">
        <f>(DSUM('4.2_Electricidad España'!$E$19:$J$41,"emisiones",'6.2_Resultados España'!E$71:E154)/1000)-SUM(N$72:N153)</f>
        <v>0</v>
      </c>
      <c r="O154" s="503"/>
      <c r="P154" s="504">
        <f t="shared" si="5"/>
        <v>0</v>
      </c>
      <c r="Q154" s="504"/>
      <c r="R154" s="504"/>
    </row>
    <row r="155" spans="5:18" x14ac:dyDescent="0.3">
      <c r="E155" s="195" t="str">
        <f>IF(Dades!C745="","",Dades!C745)</f>
        <v/>
      </c>
      <c r="F155" s="397">
        <f>(DSUM('1_Combustibles fósiles'!$E$17:$N$39,"emisiones",'6.2_Resultados España'!E$71:E155)/1000)-SUM(F$72:F154)</f>
        <v>0</v>
      </c>
      <c r="G155" s="397">
        <f>(DSUM('2_Fluorados'!$E$11:$P$33,"emisiones",'6.2_Resultados España'!E$71:E155)/1000)-SUM(G$72:G154)</f>
        <v>0</v>
      </c>
      <c r="H155" s="503">
        <f>(DSUM('3_Emisiones proceso'!$E$13:$L$35,"emisiones",'6.2_Resultados España'!E$71:E155)/1000)-SUM(H$72:H154)</f>
        <v>0</v>
      </c>
      <c r="I155" s="503"/>
      <c r="J155" s="504">
        <f t="shared" si="4"/>
        <v>0</v>
      </c>
      <c r="K155" s="504"/>
      <c r="L155" s="504"/>
      <c r="M155" s="504"/>
      <c r="N155" s="503">
        <f>(DSUM('4.2_Electricidad España'!$E$19:$J$41,"emisiones",'6.2_Resultados España'!E$71:E155)/1000)-SUM(N$72:N154)</f>
        <v>0</v>
      </c>
      <c r="O155" s="503"/>
      <c r="P155" s="504">
        <f t="shared" si="5"/>
        <v>0</v>
      </c>
      <c r="Q155" s="504"/>
      <c r="R155" s="504"/>
    </row>
    <row r="156" spans="5:18" x14ac:dyDescent="0.3">
      <c r="E156" s="195" t="str">
        <f>IF(Dades!C746="","",Dades!C746)</f>
        <v/>
      </c>
      <c r="F156" s="397">
        <f>(DSUM('1_Combustibles fósiles'!$E$17:$N$39,"emisiones",'6.2_Resultados España'!E$71:E156)/1000)-SUM(F$72:F155)</f>
        <v>0</v>
      </c>
      <c r="G156" s="397">
        <f>(DSUM('2_Fluorados'!$E$11:$P$33,"emisiones",'6.2_Resultados España'!E$71:E156)/1000)-SUM(G$72:G155)</f>
        <v>0</v>
      </c>
      <c r="H156" s="503">
        <f>(DSUM('3_Emisiones proceso'!$E$13:$L$35,"emisiones",'6.2_Resultados España'!E$71:E156)/1000)-SUM(H$72:H155)</f>
        <v>0</v>
      </c>
      <c r="I156" s="503"/>
      <c r="J156" s="504">
        <f t="shared" si="4"/>
        <v>0</v>
      </c>
      <c r="K156" s="504"/>
      <c r="L156" s="504"/>
      <c r="M156" s="504"/>
      <c r="N156" s="503">
        <f>(DSUM('4.2_Electricidad España'!$E$19:$J$41,"emisiones",'6.2_Resultados España'!E$71:E156)/1000)-SUM(N$72:N155)</f>
        <v>0</v>
      </c>
      <c r="O156" s="503"/>
      <c r="P156" s="504">
        <f t="shared" si="5"/>
        <v>0</v>
      </c>
      <c r="Q156" s="504"/>
      <c r="R156" s="504"/>
    </row>
    <row r="157" spans="5:18" x14ac:dyDescent="0.3">
      <c r="E157" s="195" t="str">
        <f>IF(Dades!C747="","",Dades!C747)</f>
        <v/>
      </c>
      <c r="F157" s="397">
        <f>(DSUM('1_Combustibles fósiles'!$E$17:$N$39,"emisiones",'6.2_Resultados España'!E$71:E157)/1000)-SUM(F$72:F156)</f>
        <v>0</v>
      </c>
      <c r="G157" s="397">
        <f>(DSUM('2_Fluorados'!$E$11:$P$33,"emisiones",'6.2_Resultados España'!E$71:E157)/1000)-SUM(G$72:G156)</f>
        <v>0</v>
      </c>
      <c r="H157" s="503">
        <f>(DSUM('3_Emisiones proceso'!$E$13:$L$35,"emisiones",'6.2_Resultados España'!E$71:E157)/1000)-SUM(H$72:H156)</f>
        <v>0</v>
      </c>
      <c r="I157" s="503"/>
      <c r="J157" s="504">
        <f t="shared" si="4"/>
        <v>0</v>
      </c>
      <c r="K157" s="504"/>
      <c r="L157" s="504"/>
      <c r="M157" s="504"/>
      <c r="N157" s="503">
        <f>(DSUM('4.2_Electricidad España'!$E$19:$J$41,"emisiones",'6.2_Resultados España'!E$71:E157)/1000)-SUM(N$72:N156)</f>
        <v>0</v>
      </c>
      <c r="O157" s="503"/>
      <c r="P157" s="504">
        <f t="shared" si="5"/>
        <v>0</v>
      </c>
      <c r="Q157" s="504"/>
      <c r="R157" s="504"/>
    </row>
    <row r="158" spans="5:18" x14ac:dyDescent="0.3">
      <c r="E158" s="195" t="str">
        <f>IF(Dades!C748="","",Dades!C748)</f>
        <v/>
      </c>
      <c r="F158" s="397">
        <f>(DSUM('1_Combustibles fósiles'!$E$17:$N$39,"emisiones",'6.2_Resultados España'!E$71:E158)/1000)-SUM(F$72:F157)</f>
        <v>0</v>
      </c>
      <c r="G158" s="397">
        <f>(DSUM('2_Fluorados'!$E$11:$P$33,"emisiones",'6.2_Resultados España'!E$71:E158)/1000)-SUM(G$72:G157)</f>
        <v>0</v>
      </c>
      <c r="H158" s="503">
        <f>(DSUM('3_Emisiones proceso'!$E$13:$L$35,"emisiones",'6.2_Resultados España'!E$71:E158)/1000)-SUM(H$72:H157)</f>
        <v>0</v>
      </c>
      <c r="I158" s="503"/>
      <c r="J158" s="504">
        <f t="shared" si="4"/>
        <v>0</v>
      </c>
      <c r="K158" s="504"/>
      <c r="L158" s="504"/>
      <c r="M158" s="504"/>
      <c r="N158" s="503">
        <f>(DSUM('4.2_Electricidad España'!$E$19:$J$41,"emisiones",'6.2_Resultados España'!E$71:E158)/1000)-SUM(N$72:N157)</f>
        <v>0</v>
      </c>
      <c r="O158" s="503"/>
      <c r="P158" s="504">
        <f t="shared" si="5"/>
        <v>0</v>
      </c>
      <c r="Q158" s="504"/>
      <c r="R158" s="504"/>
    </row>
    <row r="159" spans="5:18" x14ac:dyDescent="0.3">
      <c r="E159" s="195" t="str">
        <f>IF(Dades!C749="","",Dades!C749)</f>
        <v/>
      </c>
      <c r="F159" s="397">
        <f>(DSUM('1_Combustibles fósiles'!$E$17:$N$39,"emisiones",'6.2_Resultados España'!E$71:E159)/1000)-SUM(F$72:F158)</f>
        <v>0</v>
      </c>
      <c r="G159" s="397">
        <f>(DSUM('2_Fluorados'!$E$11:$P$33,"emisiones",'6.2_Resultados España'!E$71:E159)/1000)-SUM(G$72:G158)</f>
        <v>0</v>
      </c>
      <c r="H159" s="503">
        <f>(DSUM('3_Emisiones proceso'!$E$13:$L$35,"emisiones",'6.2_Resultados España'!E$71:E159)/1000)-SUM(H$72:H158)</f>
        <v>0</v>
      </c>
      <c r="I159" s="503"/>
      <c r="J159" s="504">
        <f t="shared" si="4"/>
        <v>0</v>
      </c>
      <c r="K159" s="504"/>
      <c r="L159" s="504"/>
      <c r="M159" s="504"/>
      <c r="N159" s="503">
        <f>(DSUM('4.2_Electricidad España'!$E$19:$J$41,"emisiones",'6.2_Resultados España'!E$71:E159)/1000)-SUM(N$72:N158)</f>
        <v>0</v>
      </c>
      <c r="O159" s="503"/>
      <c r="P159" s="504">
        <f t="shared" si="5"/>
        <v>0</v>
      </c>
      <c r="Q159" s="504"/>
      <c r="R159" s="504"/>
    </row>
    <row r="160" spans="5:18" x14ac:dyDescent="0.3">
      <c r="E160" s="195" t="str">
        <f>IF(Dades!C750="","",Dades!C750)</f>
        <v/>
      </c>
      <c r="F160" s="397">
        <f>(DSUM('1_Combustibles fósiles'!$E$17:$N$39,"emisiones",'6.2_Resultados España'!E$71:E160)/1000)-SUM(F$72:F159)</f>
        <v>0</v>
      </c>
      <c r="G160" s="397">
        <f>(DSUM('2_Fluorados'!$E$11:$P$33,"emisiones",'6.2_Resultados España'!E$71:E160)/1000)-SUM(G$72:G159)</f>
        <v>0</v>
      </c>
      <c r="H160" s="503">
        <f>(DSUM('3_Emisiones proceso'!$E$13:$L$35,"emisiones",'6.2_Resultados España'!E$71:E160)/1000)-SUM(H$72:H159)</f>
        <v>0</v>
      </c>
      <c r="I160" s="503"/>
      <c r="J160" s="504">
        <f t="shared" si="4"/>
        <v>0</v>
      </c>
      <c r="K160" s="504"/>
      <c r="L160" s="504"/>
      <c r="M160" s="504"/>
      <c r="N160" s="503">
        <f>(DSUM('4.2_Electricidad España'!$E$19:$J$41,"emisiones",'6.2_Resultados España'!E$71:E160)/1000)-SUM(N$72:N159)</f>
        <v>0</v>
      </c>
      <c r="O160" s="503"/>
      <c r="P160" s="504">
        <f t="shared" si="5"/>
        <v>0</v>
      </c>
      <c r="Q160" s="504"/>
      <c r="R160" s="504"/>
    </row>
    <row r="161" spans="5:18" x14ac:dyDescent="0.3">
      <c r="E161" s="195" t="str">
        <f>IF(Dades!C751="","",Dades!C751)</f>
        <v/>
      </c>
      <c r="F161" s="397">
        <f>(DSUM('1_Combustibles fósiles'!$E$17:$N$39,"emisiones",'6.2_Resultados España'!E$71:E161)/1000)-SUM(F$72:F160)</f>
        <v>0</v>
      </c>
      <c r="G161" s="397">
        <f>(DSUM('2_Fluorados'!$E$11:$P$33,"emisiones",'6.2_Resultados España'!E$71:E161)/1000)-SUM(G$72:G160)</f>
        <v>0</v>
      </c>
      <c r="H161" s="503">
        <f>(DSUM('3_Emisiones proceso'!$E$13:$L$35,"emisiones",'6.2_Resultados España'!E$71:E161)/1000)-SUM(H$72:H160)</f>
        <v>0</v>
      </c>
      <c r="I161" s="503"/>
      <c r="J161" s="504">
        <f t="shared" si="4"/>
        <v>0</v>
      </c>
      <c r="K161" s="504"/>
      <c r="L161" s="504"/>
      <c r="M161" s="504"/>
      <c r="N161" s="503">
        <f>(DSUM('4.2_Electricidad España'!$E$19:$J$41,"emisiones",'6.2_Resultados España'!E$71:E161)/1000)-SUM(N$72:N160)</f>
        <v>0</v>
      </c>
      <c r="O161" s="503"/>
      <c r="P161" s="504">
        <f t="shared" si="5"/>
        <v>0</v>
      </c>
      <c r="Q161" s="504"/>
      <c r="R161" s="504"/>
    </row>
    <row r="162" spans="5:18" x14ac:dyDescent="0.3">
      <c r="E162" s="195" t="str">
        <f>IF(Dades!C752="","",Dades!C752)</f>
        <v/>
      </c>
      <c r="F162" s="397">
        <f>(DSUM('1_Combustibles fósiles'!$E$17:$N$39,"emisiones",'6.2_Resultados España'!E$71:E162)/1000)-SUM(F$72:F161)</f>
        <v>0</v>
      </c>
      <c r="G162" s="397">
        <f>(DSUM('2_Fluorados'!$E$11:$P$33,"emisiones",'6.2_Resultados España'!E$71:E162)/1000)-SUM(G$72:G161)</f>
        <v>0</v>
      </c>
      <c r="H162" s="503">
        <f>(DSUM('3_Emisiones proceso'!$E$13:$L$35,"emisiones",'6.2_Resultados España'!E$71:E162)/1000)-SUM(H$72:H161)</f>
        <v>0</v>
      </c>
      <c r="I162" s="503"/>
      <c r="J162" s="504">
        <f t="shared" si="4"/>
        <v>0</v>
      </c>
      <c r="K162" s="504"/>
      <c r="L162" s="504"/>
      <c r="M162" s="504"/>
      <c r="N162" s="503">
        <f>(DSUM('4.2_Electricidad España'!$E$19:$J$41,"emisiones",'6.2_Resultados España'!E$71:E162)/1000)-SUM(N$72:N161)</f>
        <v>0</v>
      </c>
      <c r="O162" s="503"/>
      <c r="P162" s="504">
        <f t="shared" si="5"/>
        <v>0</v>
      </c>
      <c r="Q162" s="504"/>
      <c r="R162" s="504"/>
    </row>
    <row r="163" spans="5:18" x14ac:dyDescent="0.3">
      <c r="E163" s="195" t="str">
        <f>IF(Dades!C753="","",Dades!C753)</f>
        <v/>
      </c>
      <c r="F163" s="397">
        <f>(DSUM('1_Combustibles fósiles'!$E$17:$N$39,"emisiones",'6.2_Resultados España'!E$71:E163)/1000)-SUM(F$72:F162)</f>
        <v>0</v>
      </c>
      <c r="G163" s="397">
        <f>(DSUM('2_Fluorados'!$E$11:$P$33,"emisiones",'6.2_Resultados España'!E$71:E163)/1000)-SUM(G$72:G162)</f>
        <v>0</v>
      </c>
      <c r="H163" s="503">
        <f>(DSUM('3_Emisiones proceso'!$E$13:$L$35,"emisiones",'6.2_Resultados España'!E$71:E163)/1000)-SUM(H$72:H162)</f>
        <v>0</v>
      </c>
      <c r="I163" s="503"/>
      <c r="J163" s="504">
        <f t="shared" si="4"/>
        <v>0</v>
      </c>
      <c r="K163" s="504"/>
      <c r="L163" s="504"/>
      <c r="M163" s="504"/>
      <c r="N163" s="503">
        <f>(DSUM('4.2_Electricidad España'!$E$19:$J$41,"emisiones",'6.2_Resultados España'!E$71:E163)/1000)-SUM(N$72:N162)</f>
        <v>0</v>
      </c>
      <c r="O163" s="503"/>
      <c r="P163" s="504">
        <f t="shared" si="5"/>
        <v>0</v>
      </c>
      <c r="Q163" s="504"/>
      <c r="R163" s="504"/>
    </row>
    <row r="164" spans="5:18" x14ac:dyDescent="0.3">
      <c r="E164" s="195" t="str">
        <f>IF(Dades!C754="","",Dades!C754)</f>
        <v/>
      </c>
      <c r="F164" s="397">
        <f>(DSUM('1_Combustibles fósiles'!$E$17:$N$39,"emisiones",'6.2_Resultados España'!E$71:E164)/1000)-SUM(F$72:F163)</f>
        <v>0</v>
      </c>
      <c r="G164" s="397">
        <f>(DSUM('2_Fluorados'!$E$11:$P$33,"emisiones",'6.2_Resultados España'!E$71:E164)/1000)-SUM(G$72:G163)</f>
        <v>0</v>
      </c>
      <c r="H164" s="503">
        <f>(DSUM('3_Emisiones proceso'!$E$13:$L$35,"emisiones",'6.2_Resultados España'!E$71:E164)/1000)-SUM(H$72:H163)</f>
        <v>0</v>
      </c>
      <c r="I164" s="503"/>
      <c r="J164" s="504">
        <f t="shared" si="4"/>
        <v>0</v>
      </c>
      <c r="K164" s="504"/>
      <c r="L164" s="504"/>
      <c r="M164" s="504"/>
      <c r="N164" s="503">
        <f>(DSUM('4.2_Electricidad España'!$E$19:$J$41,"emisiones",'6.2_Resultados España'!E$71:E164)/1000)-SUM(N$72:N163)</f>
        <v>0</v>
      </c>
      <c r="O164" s="503"/>
      <c r="P164" s="504">
        <f t="shared" si="5"/>
        <v>0</v>
      </c>
      <c r="Q164" s="504"/>
      <c r="R164" s="504"/>
    </row>
    <row r="165" spans="5:18" x14ac:dyDescent="0.3">
      <c r="E165" s="195" t="str">
        <f>IF(Dades!C755="","",Dades!C755)</f>
        <v/>
      </c>
      <c r="F165" s="397">
        <f>(DSUM('1_Combustibles fósiles'!$E$17:$N$39,"emisiones",'6.2_Resultados España'!E$71:E165)/1000)-SUM(F$72:F164)</f>
        <v>0</v>
      </c>
      <c r="G165" s="397">
        <f>(DSUM('2_Fluorados'!$E$11:$P$33,"emisiones",'6.2_Resultados España'!E$71:E165)/1000)-SUM(G$72:G164)</f>
        <v>0</v>
      </c>
      <c r="H165" s="503">
        <f>(DSUM('3_Emisiones proceso'!$E$13:$L$35,"emisiones",'6.2_Resultados España'!E$71:E165)/1000)-SUM(H$72:H164)</f>
        <v>0</v>
      </c>
      <c r="I165" s="503"/>
      <c r="J165" s="504">
        <f t="shared" si="4"/>
        <v>0</v>
      </c>
      <c r="K165" s="504"/>
      <c r="L165" s="504"/>
      <c r="M165" s="504"/>
      <c r="N165" s="503">
        <f>(DSUM('4.2_Electricidad España'!$E$19:$J$41,"emisiones",'6.2_Resultados España'!E$71:E165)/1000)-SUM(N$72:N164)</f>
        <v>0</v>
      </c>
      <c r="O165" s="503"/>
      <c r="P165" s="504">
        <f t="shared" si="5"/>
        <v>0</v>
      </c>
      <c r="Q165" s="504"/>
      <c r="R165" s="504"/>
    </row>
    <row r="166" spans="5:18" x14ac:dyDescent="0.3">
      <c r="E166" s="195" t="str">
        <f>IF(Dades!C756="","",Dades!C756)</f>
        <v/>
      </c>
      <c r="F166" s="397">
        <f>(DSUM('1_Combustibles fósiles'!$E$17:$N$39,"emisiones",'6.2_Resultados España'!E$71:E166)/1000)-SUM(F$72:F165)</f>
        <v>0</v>
      </c>
      <c r="G166" s="397">
        <f>(DSUM('2_Fluorados'!$E$11:$P$33,"emisiones",'6.2_Resultados España'!E$71:E166)/1000)-SUM(G$72:G165)</f>
        <v>0</v>
      </c>
      <c r="H166" s="503">
        <f>(DSUM('3_Emisiones proceso'!$E$13:$L$35,"emisiones",'6.2_Resultados España'!E$71:E166)/1000)-SUM(H$72:H165)</f>
        <v>0</v>
      </c>
      <c r="I166" s="503"/>
      <c r="J166" s="504">
        <f t="shared" si="4"/>
        <v>0</v>
      </c>
      <c r="K166" s="504"/>
      <c r="L166" s="504"/>
      <c r="M166" s="504"/>
      <c r="N166" s="503">
        <f>(DSUM('4.2_Electricidad España'!$E$19:$J$41,"emisiones",'6.2_Resultados España'!E$71:E166)/1000)-SUM(N$72:N165)</f>
        <v>0</v>
      </c>
      <c r="O166" s="503"/>
      <c r="P166" s="504">
        <f t="shared" si="5"/>
        <v>0</v>
      </c>
      <c r="Q166" s="504"/>
      <c r="R166" s="504"/>
    </row>
    <row r="167" spans="5:18" x14ac:dyDescent="0.3">
      <c r="E167" s="195" t="str">
        <f>IF(Dades!C757="","",Dades!C757)</f>
        <v/>
      </c>
      <c r="F167" s="397">
        <f>(DSUM('1_Combustibles fósiles'!$E$17:$N$39,"emisiones",'6.2_Resultados España'!E$71:E167)/1000)-SUM(F$72:F166)</f>
        <v>0</v>
      </c>
      <c r="G167" s="397">
        <f>(DSUM('2_Fluorados'!$E$11:$P$33,"emisiones",'6.2_Resultados España'!E$71:E167)/1000)-SUM(G$72:G166)</f>
        <v>0</v>
      </c>
      <c r="H167" s="503">
        <f>(DSUM('3_Emisiones proceso'!$E$13:$L$35,"emisiones",'6.2_Resultados España'!E$71:E167)/1000)-SUM(H$72:H166)</f>
        <v>0</v>
      </c>
      <c r="I167" s="503"/>
      <c r="J167" s="504">
        <f t="shared" si="4"/>
        <v>0</v>
      </c>
      <c r="K167" s="504"/>
      <c r="L167" s="504"/>
      <c r="M167" s="504"/>
      <c r="N167" s="503">
        <f>(DSUM('4.2_Electricidad España'!$E$19:$J$41,"emisiones",'6.2_Resultados España'!E$71:E167)/1000)-SUM(N$72:N166)</f>
        <v>0</v>
      </c>
      <c r="O167" s="503"/>
      <c r="P167" s="504">
        <f t="shared" si="5"/>
        <v>0</v>
      </c>
      <c r="Q167" s="504"/>
      <c r="R167" s="504"/>
    </row>
    <row r="168" spans="5:18" x14ac:dyDescent="0.3">
      <c r="E168" s="195" t="str">
        <f>IF(Dades!C758="","",Dades!C758)</f>
        <v/>
      </c>
      <c r="F168" s="397">
        <f>(DSUM('1_Combustibles fósiles'!$E$17:$N$39,"emisiones",'6.2_Resultados España'!E$71:E168)/1000)-SUM(F$72:F167)</f>
        <v>0</v>
      </c>
      <c r="G168" s="397">
        <f>(DSUM('2_Fluorados'!$E$11:$P$33,"emisiones",'6.2_Resultados España'!E$71:E168)/1000)-SUM(G$72:G167)</f>
        <v>0</v>
      </c>
      <c r="H168" s="503">
        <f>(DSUM('3_Emisiones proceso'!$E$13:$L$35,"emisiones",'6.2_Resultados España'!E$71:E168)/1000)-SUM(H$72:H167)</f>
        <v>0</v>
      </c>
      <c r="I168" s="503"/>
      <c r="J168" s="504">
        <f t="shared" si="4"/>
        <v>0</v>
      </c>
      <c r="K168" s="504"/>
      <c r="L168" s="504"/>
      <c r="M168" s="504"/>
      <c r="N168" s="503">
        <f>(DSUM('4.2_Electricidad España'!$E$19:$J$41,"emisiones",'6.2_Resultados España'!E$71:E168)/1000)-SUM(N$72:N167)</f>
        <v>0</v>
      </c>
      <c r="O168" s="503"/>
      <c r="P168" s="504">
        <f t="shared" si="5"/>
        <v>0</v>
      </c>
      <c r="Q168" s="504"/>
      <c r="R168" s="504"/>
    </row>
    <row r="169" spans="5:18" x14ac:dyDescent="0.3">
      <c r="E169" s="195" t="str">
        <f>IF(Dades!C759="","",Dades!C759)</f>
        <v/>
      </c>
      <c r="F169" s="397">
        <f>(DSUM('1_Combustibles fósiles'!$E$17:$N$39,"emisiones",'6.2_Resultados España'!E$71:E169)/1000)-SUM(F$72:F168)</f>
        <v>0</v>
      </c>
      <c r="G169" s="397">
        <f>(DSUM('2_Fluorados'!$E$11:$P$33,"emisiones",'6.2_Resultados España'!E$71:E169)/1000)-SUM(G$72:G168)</f>
        <v>0</v>
      </c>
      <c r="H169" s="503">
        <f>(DSUM('3_Emisiones proceso'!$E$13:$L$35,"emisiones",'6.2_Resultados España'!E$71:E169)/1000)-SUM(H$72:H168)</f>
        <v>0</v>
      </c>
      <c r="I169" s="503"/>
      <c r="J169" s="504">
        <f t="shared" si="4"/>
        <v>0</v>
      </c>
      <c r="K169" s="504"/>
      <c r="L169" s="504"/>
      <c r="M169" s="504"/>
      <c r="N169" s="503">
        <f>(DSUM('4.2_Electricidad España'!$E$19:$J$41,"emisiones",'6.2_Resultados España'!E$71:E169)/1000)-SUM(N$72:N168)</f>
        <v>0</v>
      </c>
      <c r="O169" s="503"/>
      <c r="P169" s="504">
        <f t="shared" si="5"/>
        <v>0</v>
      </c>
      <c r="Q169" s="504"/>
      <c r="R169" s="504"/>
    </row>
    <row r="170" spans="5:18" x14ac:dyDescent="0.3">
      <c r="E170" s="195" t="str">
        <f>IF(Dades!C760="","",Dades!C760)</f>
        <v/>
      </c>
      <c r="F170" s="397">
        <f>(DSUM('1_Combustibles fósiles'!$E$17:$N$39,"emisiones",'6.2_Resultados España'!E$71:E170)/1000)-SUM(F$72:F169)</f>
        <v>0</v>
      </c>
      <c r="G170" s="397">
        <f>(DSUM('2_Fluorados'!$E$11:$P$33,"emisiones",'6.2_Resultados España'!E$71:E170)/1000)-SUM(G$72:G169)</f>
        <v>0</v>
      </c>
      <c r="H170" s="503">
        <f>(DSUM('3_Emisiones proceso'!$E$13:$L$35,"emisiones",'6.2_Resultados España'!E$71:E170)/1000)-SUM(H$72:H169)</f>
        <v>0</v>
      </c>
      <c r="I170" s="503"/>
      <c r="J170" s="504">
        <f t="shared" si="4"/>
        <v>0</v>
      </c>
      <c r="K170" s="504"/>
      <c r="L170" s="504"/>
      <c r="M170" s="504"/>
      <c r="N170" s="503">
        <f>(DSUM('4.2_Electricidad España'!$E$19:$J$41,"emisiones",'6.2_Resultados España'!E$71:E170)/1000)-SUM(N$72:N169)</f>
        <v>0</v>
      </c>
      <c r="O170" s="503"/>
      <c r="P170" s="504">
        <f t="shared" si="5"/>
        <v>0</v>
      </c>
      <c r="Q170" s="504"/>
      <c r="R170" s="504"/>
    </row>
    <row r="171" spans="5:18" x14ac:dyDescent="0.3">
      <c r="E171" s="195" t="str">
        <f>IF(Dades!C761="","",Dades!C761)</f>
        <v/>
      </c>
      <c r="F171" s="397">
        <f>(DSUM('1_Combustibles fósiles'!$E$17:$N$39,"emisiones",'6.2_Resultados España'!E$71:E171)/1000)-SUM(F$72:F170)</f>
        <v>0</v>
      </c>
      <c r="G171" s="397">
        <f>(DSUM('2_Fluorados'!$E$11:$P$33,"emisiones",'6.2_Resultados España'!E$71:E171)/1000)-SUM(G$72:G170)</f>
        <v>0</v>
      </c>
      <c r="H171" s="503">
        <f>(DSUM('3_Emisiones proceso'!$E$13:$L$35,"emisiones",'6.2_Resultados España'!E$71:E171)/1000)-SUM(H$72:H170)</f>
        <v>0</v>
      </c>
      <c r="I171" s="503"/>
      <c r="J171" s="504">
        <f t="shared" si="4"/>
        <v>0</v>
      </c>
      <c r="K171" s="504"/>
      <c r="L171" s="504"/>
      <c r="M171" s="504"/>
      <c r="N171" s="503">
        <f>(DSUM('4.2_Electricidad España'!$E$19:$J$41,"emisiones",'6.2_Resultados España'!E$71:E171)/1000)-SUM(N$72:N170)</f>
        <v>0</v>
      </c>
      <c r="O171" s="503"/>
      <c r="P171" s="504">
        <f t="shared" si="5"/>
        <v>0</v>
      </c>
      <c r="Q171" s="504"/>
      <c r="R171" s="504"/>
    </row>
    <row r="172" spans="5:18" x14ac:dyDescent="0.3">
      <c r="E172" s="195" t="str">
        <f>IF(Dades!C762="","",Dades!C762)</f>
        <v/>
      </c>
      <c r="F172" s="397">
        <f>(DSUM('1_Combustibles fósiles'!$E$17:$N$39,"emisiones",'6.2_Resultados España'!E$71:E172)/1000)-SUM(F$72:F171)</f>
        <v>0</v>
      </c>
      <c r="G172" s="397">
        <f>(DSUM('2_Fluorados'!$E$11:$P$33,"emisiones",'6.2_Resultados España'!E$71:E172)/1000)-SUM(G$72:G171)</f>
        <v>0</v>
      </c>
      <c r="H172" s="503">
        <f>(DSUM('3_Emisiones proceso'!$E$13:$L$35,"emisiones",'6.2_Resultados España'!E$71:E172)/1000)-SUM(H$72:H171)</f>
        <v>0</v>
      </c>
      <c r="I172" s="503"/>
      <c r="J172" s="504">
        <f t="shared" si="4"/>
        <v>0</v>
      </c>
      <c r="K172" s="504"/>
      <c r="L172" s="504"/>
      <c r="M172" s="504"/>
      <c r="N172" s="503">
        <f>(DSUM('4.2_Electricidad España'!$E$19:$J$41,"emisiones",'6.2_Resultados España'!E$71:E172)/1000)-SUM(N$72:N171)</f>
        <v>0</v>
      </c>
      <c r="O172" s="503"/>
      <c r="P172" s="504">
        <f t="shared" si="5"/>
        <v>0</v>
      </c>
      <c r="Q172" s="504"/>
      <c r="R172" s="504"/>
    </row>
    <row r="173" spans="5:18" x14ac:dyDescent="0.3">
      <c r="E173" s="195" t="str">
        <f>IF(Dades!C763="","",Dades!C763)</f>
        <v/>
      </c>
      <c r="F173" s="397">
        <f>(DSUM('1_Combustibles fósiles'!$E$17:$N$39,"emisiones",'6.2_Resultados España'!E$71:E173)/1000)-SUM(F$72:F172)</f>
        <v>0</v>
      </c>
      <c r="G173" s="397">
        <f>(DSUM('2_Fluorados'!$E$11:$P$33,"emisiones",'6.2_Resultados España'!E$71:E173)/1000)-SUM(G$72:G172)</f>
        <v>0</v>
      </c>
      <c r="H173" s="503">
        <f>(DSUM('3_Emisiones proceso'!$E$13:$L$35,"emisiones",'6.2_Resultados España'!E$71:E173)/1000)-SUM(H$72:H172)</f>
        <v>0</v>
      </c>
      <c r="I173" s="503"/>
      <c r="J173" s="504">
        <f t="shared" si="4"/>
        <v>0</v>
      </c>
      <c r="K173" s="504"/>
      <c r="L173" s="504"/>
      <c r="M173" s="504"/>
      <c r="N173" s="503">
        <f>(DSUM('4.2_Electricidad España'!$E$19:$J$41,"emisiones",'6.2_Resultados España'!E$71:E173)/1000)-SUM(N$72:N172)</f>
        <v>0</v>
      </c>
      <c r="O173" s="503"/>
      <c r="P173" s="504">
        <f t="shared" si="5"/>
        <v>0</v>
      </c>
      <c r="Q173" s="504"/>
      <c r="R173" s="504"/>
    </row>
    <row r="174" spans="5:18" x14ac:dyDescent="0.3">
      <c r="E174" s="195" t="str">
        <f>IF(Dades!C764="","",Dades!C764)</f>
        <v/>
      </c>
      <c r="F174" s="397">
        <f>(DSUM('1_Combustibles fósiles'!$E$17:$N$39,"emisiones",'6.2_Resultados España'!E$71:E174)/1000)-SUM(F$72:F173)</f>
        <v>0</v>
      </c>
      <c r="G174" s="397">
        <f>(DSUM('2_Fluorados'!$E$11:$P$33,"emisiones",'6.2_Resultados España'!E$71:E174)/1000)-SUM(G$72:G173)</f>
        <v>0</v>
      </c>
      <c r="H174" s="503">
        <f>(DSUM('3_Emisiones proceso'!$E$13:$L$35,"emisiones",'6.2_Resultados España'!E$71:E174)/1000)-SUM(H$72:H173)</f>
        <v>0</v>
      </c>
      <c r="I174" s="503"/>
      <c r="J174" s="504">
        <f t="shared" si="4"/>
        <v>0</v>
      </c>
      <c r="K174" s="504"/>
      <c r="L174" s="504"/>
      <c r="M174" s="504"/>
      <c r="N174" s="503">
        <f>(DSUM('4.2_Electricidad España'!$E$19:$J$41,"emisiones",'6.2_Resultados España'!E$71:E174)/1000)-SUM(N$72:N173)</f>
        <v>0</v>
      </c>
      <c r="O174" s="503"/>
      <c r="P174" s="504">
        <f t="shared" si="5"/>
        <v>0</v>
      </c>
      <c r="Q174" s="504"/>
      <c r="R174" s="504"/>
    </row>
    <row r="175" spans="5:18" x14ac:dyDescent="0.3">
      <c r="E175" s="195" t="str">
        <f>IF(Dades!C765="","",Dades!C765)</f>
        <v/>
      </c>
      <c r="F175" s="397">
        <f>(DSUM('1_Combustibles fósiles'!$E$17:$N$39,"emisiones",'6.2_Resultados España'!E$71:E175)/1000)-SUM(F$72:F174)</f>
        <v>0</v>
      </c>
      <c r="G175" s="397">
        <f>(DSUM('2_Fluorados'!$E$11:$P$33,"emisiones",'6.2_Resultados España'!E$71:E175)/1000)-SUM(G$72:G174)</f>
        <v>0</v>
      </c>
      <c r="H175" s="503">
        <f>(DSUM('3_Emisiones proceso'!$E$13:$L$35,"emisiones",'6.2_Resultados España'!E$71:E175)/1000)-SUM(H$72:H174)</f>
        <v>0</v>
      </c>
      <c r="I175" s="503"/>
      <c r="J175" s="504">
        <f t="shared" si="4"/>
        <v>0</v>
      </c>
      <c r="K175" s="504"/>
      <c r="L175" s="504"/>
      <c r="M175" s="504"/>
      <c r="N175" s="503">
        <f>(DSUM('4.2_Electricidad España'!$E$19:$J$41,"emisiones",'6.2_Resultados España'!E$71:E175)/1000)-SUM(N$72:N174)</f>
        <v>0</v>
      </c>
      <c r="O175" s="503"/>
      <c r="P175" s="504">
        <f t="shared" si="5"/>
        <v>0</v>
      </c>
      <c r="Q175" s="504"/>
      <c r="R175" s="504"/>
    </row>
    <row r="176" spans="5:18" x14ac:dyDescent="0.3">
      <c r="E176" s="195" t="str">
        <f>IF(Dades!C766="","",Dades!C766)</f>
        <v/>
      </c>
      <c r="F176" s="397">
        <f>(DSUM('1_Combustibles fósiles'!$E$17:$N$39,"emisiones",'6.2_Resultados España'!E$71:E176)/1000)-SUM(F$72:F175)</f>
        <v>0</v>
      </c>
      <c r="G176" s="397">
        <f>(DSUM('2_Fluorados'!$E$11:$P$33,"emisiones",'6.2_Resultados España'!E$71:E176)/1000)-SUM(G$72:G175)</f>
        <v>0</v>
      </c>
      <c r="H176" s="503">
        <f>(DSUM('3_Emisiones proceso'!$E$13:$L$35,"emisiones",'6.2_Resultados España'!E$71:E176)/1000)-SUM(H$72:H175)</f>
        <v>0</v>
      </c>
      <c r="I176" s="503"/>
      <c r="J176" s="504">
        <f t="shared" si="4"/>
        <v>0</v>
      </c>
      <c r="K176" s="504"/>
      <c r="L176" s="504"/>
      <c r="M176" s="504"/>
      <c r="N176" s="503">
        <f>(DSUM('4.2_Electricidad España'!$E$19:$J$41,"emisiones",'6.2_Resultados España'!E$71:E176)/1000)-SUM(N$72:N175)</f>
        <v>0</v>
      </c>
      <c r="O176" s="503"/>
      <c r="P176" s="504">
        <f t="shared" si="5"/>
        <v>0</v>
      </c>
      <c r="Q176" s="504"/>
      <c r="R176" s="504"/>
    </row>
    <row r="177" spans="5:18" x14ac:dyDescent="0.3">
      <c r="E177" s="195" t="str">
        <f>IF(Dades!C767="","",Dades!C767)</f>
        <v/>
      </c>
      <c r="F177" s="397">
        <f>(DSUM('1_Combustibles fósiles'!$E$17:$N$39,"emisiones",'6.2_Resultados España'!E$71:E177)/1000)-SUM(F$72:F176)</f>
        <v>0</v>
      </c>
      <c r="G177" s="397">
        <f>(DSUM('2_Fluorados'!$E$11:$P$33,"emisiones",'6.2_Resultados España'!E$71:E177)/1000)-SUM(G$72:G176)</f>
        <v>0</v>
      </c>
      <c r="H177" s="503">
        <f>(DSUM('3_Emisiones proceso'!$E$13:$L$35,"emisiones",'6.2_Resultados España'!E$71:E177)/1000)-SUM(H$72:H176)</f>
        <v>0</v>
      </c>
      <c r="I177" s="503"/>
      <c r="J177" s="504">
        <f t="shared" si="4"/>
        <v>0</v>
      </c>
      <c r="K177" s="504"/>
      <c r="L177" s="504"/>
      <c r="M177" s="504"/>
      <c r="N177" s="503">
        <f>(DSUM('4.2_Electricidad España'!$E$19:$J$41,"emisiones",'6.2_Resultados España'!E$71:E177)/1000)-SUM(N$72:N176)</f>
        <v>0</v>
      </c>
      <c r="O177" s="503"/>
      <c r="P177" s="504">
        <f t="shared" si="5"/>
        <v>0</v>
      </c>
      <c r="Q177" s="504"/>
      <c r="R177" s="504"/>
    </row>
    <row r="178" spans="5:18" x14ac:dyDescent="0.3">
      <c r="E178" s="195" t="str">
        <f>IF(Dades!C768="","",Dades!C768)</f>
        <v/>
      </c>
      <c r="F178" s="397">
        <f>(DSUM('1_Combustibles fósiles'!$E$17:$N$39,"emisiones",'6.2_Resultados España'!E$71:E178)/1000)-SUM(F$72:F177)</f>
        <v>0</v>
      </c>
      <c r="G178" s="397">
        <f>(DSUM('2_Fluorados'!$E$11:$P$33,"emisiones",'6.2_Resultados España'!E$71:E178)/1000)-SUM(G$72:G177)</f>
        <v>0</v>
      </c>
      <c r="H178" s="503">
        <f>(DSUM('3_Emisiones proceso'!$E$13:$L$35,"emisiones",'6.2_Resultados España'!E$71:E178)/1000)-SUM(H$72:H177)</f>
        <v>0</v>
      </c>
      <c r="I178" s="503"/>
      <c r="J178" s="504">
        <f t="shared" si="4"/>
        <v>0</v>
      </c>
      <c r="K178" s="504"/>
      <c r="L178" s="504"/>
      <c r="M178" s="504"/>
      <c r="N178" s="503">
        <f>(DSUM('4.2_Electricidad España'!$E$19:$J$41,"emisiones",'6.2_Resultados España'!E$71:E178)/1000)-SUM(N$72:N177)</f>
        <v>0</v>
      </c>
      <c r="O178" s="503"/>
      <c r="P178" s="504">
        <f t="shared" si="5"/>
        <v>0</v>
      </c>
      <c r="Q178" s="504"/>
      <c r="R178" s="504"/>
    </row>
    <row r="179" spans="5:18" x14ac:dyDescent="0.3">
      <c r="E179" s="195" t="str">
        <f>IF(Dades!C769="","",Dades!C769)</f>
        <v/>
      </c>
      <c r="F179" s="397">
        <f>(DSUM('1_Combustibles fósiles'!$E$17:$N$39,"emisiones",'6.2_Resultados España'!E$71:E179)/1000)-SUM(F$72:F178)</f>
        <v>0</v>
      </c>
      <c r="G179" s="397">
        <f>(DSUM('2_Fluorados'!$E$11:$P$33,"emisiones",'6.2_Resultados España'!E$71:E179)/1000)-SUM(G$72:G178)</f>
        <v>0</v>
      </c>
      <c r="H179" s="503">
        <f>(DSUM('3_Emisiones proceso'!$E$13:$L$35,"emisiones",'6.2_Resultados España'!E$71:E179)/1000)-SUM(H$72:H178)</f>
        <v>0</v>
      </c>
      <c r="I179" s="503"/>
      <c r="J179" s="504">
        <f t="shared" si="4"/>
        <v>0</v>
      </c>
      <c r="K179" s="504"/>
      <c r="L179" s="504"/>
      <c r="M179" s="504"/>
      <c r="N179" s="503">
        <f>(DSUM('4.2_Electricidad España'!$E$19:$J$41,"emisiones",'6.2_Resultados España'!E$71:E179)/1000)-SUM(N$72:N178)</f>
        <v>0</v>
      </c>
      <c r="O179" s="503"/>
      <c r="P179" s="504">
        <f t="shared" si="5"/>
        <v>0</v>
      </c>
      <c r="Q179" s="504"/>
      <c r="R179" s="504"/>
    </row>
    <row r="180" spans="5:18" x14ac:dyDescent="0.3">
      <c r="E180" s="195" t="str">
        <f>IF(Dades!C770="","",Dades!C770)</f>
        <v/>
      </c>
      <c r="F180" s="397">
        <f>(DSUM('1_Combustibles fósiles'!$E$17:$N$39,"emisiones",'6.2_Resultados España'!E$71:E180)/1000)-SUM(F$72:F179)</f>
        <v>0</v>
      </c>
      <c r="G180" s="397">
        <f>(DSUM('2_Fluorados'!$E$11:$P$33,"emisiones",'6.2_Resultados España'!E$71:E180)/1000)-SUM(G$72:G179)</f>
        <v>0</v>
      </c>
      <c r="H180" s="503">
        <f>(DSUM('3_Emisiones proceso'!$E$13:$L$35,"emisiones",'6.2_Resultados España'!E$71:E180)/1000)-SUM(H$72:H179)</f>
        <v>0</v>
      </c>
      <c r="I180" s="503"/>
      <c r="J180" s="504">
        <f t="shared" si="4"/>
        <v>0</v>
      </c>
      <c r="K180" s="504"/>
      <c r="L180" s="504"/>
      <c r="M180" s="504"/>
      <c r="N180" s="503">
        <f>(DSUM('4.2_Electricidad España'!$E$19:$J$41,"emisiones",'6.2_Resultados España'!E$71:E180)/1000)-SUM(N$72:N179)</f>
        <v>0</v>
      </c>
      <c r="O180" s="503"/>
      <c r="P180" s="504">
        <f t="shared" si="5"/>
        <v>0</v>
      </c>
      <c r="Q180" s="504"/>
      <c r="R180" s="504"/>
    </row>
    <row r="181" spans="5:18" x14ac:dyDescent="0.3">
      <c r="E181" s="195" t="str">
        <f>IF(Dades!C771="","",Dades!C771)</f>
        <v/>
      </c>
      <c r="F181" s="397">
        <f>(DSUM('1_Combustibles fósiles'!$E$17:$N$39,"emisiones",'6.2_Resultados España'!E$71:E181)/1000)-SUM(F$72:F180)</f>
        <v>0</v>
      </c>
      <c r="G181" s="397">
        <f>(DSUM('2_Fluorados'!$E$11:$P$33,"emisiones",'6.2_Resultados España'!E$71:E181)/1000)-SUM(G$72:G180)</f>
        <v>0</v>
      </c>
      <c r="H181" s="503">
        <f>(DSUM('3_Emisiones proceso'!$E$13:$L$35,"emisiones",'6.2_Resultados España'!E$71:E181)/1000)-SUM(H$72:H180)</f>
        <v>0</v>
      </c>
      <c r="I181" s="503"/>
      <c r="J181" s="504">
        <f t="shared" si="4"/>
        <v>0</v>
      </c>
      <c r="K181" s="504"/>
      <c r="L181" s="504"/>
      <c r="M181" s="504"/>
      <c r="N181" s="503">
        <f>(DSUM('4.2_Electricidad España'!$E$19:$J$41,"emisiones",'6.2_Resultados España'!E$71:E181)/1000)-SUM(N$72:N180)</f>
        <v>0</v>
      </c>
      <c r="O181" s="503"/>
      <c r="P181" s="504">
        <f t="shared" si="5"/>
        <v>0</v>
      </c>
      <c r="Q181" s="504"/>
      <c r="R181" s="504"/>
    </row>
    <row r="182" spans="5:18" x14ac:dyDescent="0.3">
      <c r="E182" s="195" t="str">
        <f>IF(Dades!C772="","",Dades!C772)</f>
        <v/>
      </c>
      <c r="F182" s="397">
        <f>(DSUM('1_Combustibles fósiles'!$E$17:$N$39,"emisiones",'6.2_Resultados España'!E$71:E182)/1000)-SUM(F$72:F181)</f>
        <v>0</v>
      </c>
      <c r="G182" s="397">
        <f>(DSUM('2_Fluorados'!$E$11:$P$33,"emisiones",'6.2_Resultados España'!E$71:E182)/1000)-SUM(G$72:G181)</f>
        <v>0</v>
      </c>
      <c r="H182" s="503">
        <f>(DSUM('3_Emisiones proceso'!$E$13:$L$35,"emisiones",'6.2_Resultados España'!E$71:E182)/1000)-SUM(H$72:H181)</f>
        <v>0</v>
      </c>
      <c r="I182" s="503"/>
      <c r="J182" s="504">
        <f t="shared" si="4"/>
        <v>0</v>
      </c>
      <c r="K182" s="504"/>
      <c r="L182" s="504"/>
      <c r="M182" s="504"/>
      <c r="N182" s="503">
        <f>(DSUM('4.2_Electricidad España'!$E$19:$J$41,"emisiones",'6.2_Resultados España'!E$71:E182)/1000)-SUM(N$72:N181)</f>
        <v>0</v>
      </c>
      <c r="O182" s="503"/>
      <c r="P182" s="504">
        <f t="shared" si="5"/>
        <v>0</v>
      </c>
      <c r="Q182" s="504"/>
      <c r="R182" s="504"/>
    </row>
    <row r="183" spans="5:18" x14ac:dyDescent="0.3">
      <c r="E183" s="195" t="str">
        <f>IF(Dades!C773="","",Dades!C773)</f>
        <v/>
      </c>
      <c r="F183" s="397">
        <f>(DSUM('1_Combustibles fósiles'!$E$17:$N$39,"emisiones",'6.2_Resultados España'!E$71:E183)/1000)-SUM(F$72:F182)</f>
        <v>0</v>
      </c>
      <c r="G183" s="397">
        <f>(DSUM('2_Fluorados'!$E$11:$P$33,"emisiones",'6.2_Resultados España'!E$71:E183)/1000)-SUM(G$72:G182)</f>
        <v>0</v>
      </c>
      <c r="H183" s="503">
        <f>(DSUM('3_Emisiones proceso'!$E$13:$L$35,"emisiones",'6.2_Resultados España'!E$71:E183)/1000)-SUM(H$72:H182)</f>
        <v>0</v>
      </c>
      <c r="I183" s="503"/>
      <c r="J183" s="504">
        <f t="shared" si="4"/>
        <v>0</v>
      </c>
      <c r="K183" s="504"/>
      <c r="L183" s="504"/>
      <c r="M183" s="504"/>
      <c r="N183" s="503">
        <f>(DSUM('4.2_Electricidad España'!$E$19:$J$41,"emisiones",'6.2_Resultados España'!E$71:E183)/1000)-SUM(N$72:N182)</f>
        <v>0</v>
      </c>
      <c r="O183" s="503"/>
      <c r="P183" s="504">
        <f t="shared" si="5"/>
        <v>0</v>
      </c>
      <c r="Q183" s="504"/>
      <c r="R183" s="504"/>
    </row>
    <row r="184" spans="5:18" x14ac:dyDescent="0.3">
      <c r="E184" s="195" t="str">
        <f>IF(Dades!C774="","",Dades!C774)</f>
        <v/>
      </c>
      <c r="F184" s="397">
        <f>(DSUM('1_Combustibles fósiles'!$E$17:$N$39,"emisiones",'6.2_Resultados España'!E$71:E184)/1000)-SUM(F$72:F183)</f>
        <v>0</v>
      </c>
      <c r="G184" s="397">
        <f>(DSUM('2_Fluorados'!$E$11:$P$33,"emisiones",'6.2_Resultados España'!E$71:E184)/1000)-SUM(G$72:G183)</f>
        <v>0</v>
      </c>
      <c r="H184" s="503">
        <f>(DSUM('3_Emisiones proceso'!$E$13:$L$35,"emisiones",'6.2_Resultados España'!E$71:E184)/1000)-SUM(H$72:H183)</f>
        <v>0</v>
      </c>
      <c r="I184" s="503"/>
      <c r="J184" s="504">
        <f t="shared" si="4"/>
        <v>0</v>
      </c>
      <c r="K184" s="504"/>
      <c r="L184" s="504"/>
      <c r="M184" s="504"/>
      <c r="N184" s="503">
        <f>(DSUM('4.2_Electricidad España'!$E$19:$J$41,"emisiones",'6.2_Resultados España'!E$71:E184)/1000)-SUM(N$72:N183)</f>
        <v>0</v>
      </c>
      <c r="O184" s="503"/>
      <c r="P184" s="504">
        <f t="shared" si="5"/>
        <v>0</v>
      </c>
      <c r="Q184" s="504"/>
      <c r="R184" s="504"/>
    </row>
    <row r="185" spans="5:18" x14ac:dyDescent="0.3">
      <c r="E185" s="195" t="str">
        <f>IF(Dades!C775="","",Dades!C775)</f>
        <v/>
      </c>
      <c r="F185" s="397">
        <f>(DSUM('1_Combustibles fósiles'!$E$17:$N$39,"emisiones",'6.2_Resultados España'!E$71:E185)/1000)-SUM(F$72:F184)</f>
        <v>0</v>
      </c>
      <c r="G185" s="397">
        <f>(DSUM('2_Fluorados'!$E$11:$P$33,"emisiones",'6.2_Resultados España'!E$71:E185)/1000)-SUM(G$72:G184)</f>
        <v>0</v>
      </c>
      <c r="H185" s="503">
        <f>(DSUM('3_Emisiones proceso'!$E$13:$L$35,"emisiones",'6.2_Resultados España'!E$71:E185)/1000)-SUM(H$72:H184)</f>
        <v>0</v>
      </c>
      <c r="I185" s="503"/>
      <c r="J185" s="504">
        <f t="shared" si="4"/>
        <v>0</v>
      </c>
      <c r="K185" s="504"/>
      <c r="L185" s="504"/>
      <c r="M185" s="504"/>
      <c r="N185" s="503">
        <f>(DSUM('4.2_Electricidad España'!$E$19:$J$41,"emisiones",'6.2_Resultados España'!E$71:E185)/1000)-SUM(N$72:N184)</f>
        <v>0</v>
      </c>
      <c r="O185" s="503"/>
      <c r="P185" s="504">
        <f t="shared" si="5"/>
        <v>0</v>
      </c>
      <c r="Q185" s="504"/>
      <c r="R185" s="504"/>
    </row>
    <row r="186" spans="5:18" x14ac:dyDescent="0.3">
      <c r="E186" s="195" t="str">
        <f>IF(Dades!C776="","",Dades!C776)</f>
        <v/>
      </c>
      <c r="F186" s="397">
        <f>(DSUM('1_Combustibles fósiles'!$E$17:$N$39,"emisiones",'6.2_Resultados España'!E$71:E186)/1000)-SUM(F$72:F185)</f>
        <v>0</v>
      </c>
      <c r="G186" s="397">
        <f>(DSUM('2_Fluorados'!$E$11:$P$33,"emisiones",'6.2_Resultados España'!E$71:E186)/1000)-SUM(G$72:G185)</f>
        <v>0</v>
      </c>
      <c r="H186" s="503">
        <f>(DSUM('3_Emisiones proceso'!$E$13:$L$35,"emisiones",'6.2_Resultados España'!E$71:E186)/1000)-SUM(H$72:H185)</f>
        <v>0</v>
      </c>
      <c r="I186" s="503"/>
      <c r="J186" s="504">
        <f t="shared" si="4"/>
        <v>0</v>
      </c>
      <c r="K186" s="504"/>
      <c r="L186" s="504"/>
      <c r="M186" s="504"/>
      <c r="N186" s="503">
        <f>(DSUM('4.2_Electricidad España'!$E$19:$J$41,"emisiones",'6.2_Resultados España'!E$71:E186)/1000)-SUM(N$72:N185)</f>
        <v>0</v>
      </c>
      <c r="O186" s="503"/>
      <c r="P186" s="504">
        <f t="shared" si="5"/>
        <v>0</v>
      </c>
      <c r="Q186" s="504"/>
      <c r="R186" s="504"/>
    </row>
    <row r="187" spans="5:18" x14ac:dyDescent="0.3">
      <c r="E187" s="195" t="str">
        <f>IF(Dades!C777="","",Dades!C777)</f>
        <v/>
      </c>
      <c r="F187" s="397">
        <f>(DSUM('1_Combustibles fósiles'!$E$17:$N$39,"emisiones",'6.2_Resultados España'!E$71:E187)/1000)-SUM(F$72:F186)</f>
        <v>0</v>
      </c>
      <c r="G187" s="397">
        <f>(DSUM('2_Fluorados'!$E$11:$P$33,"emisiones",'6.2_Resultados España'!E$71:E187)/1000)-SUM(G$72:G186)</f>
        <v>0</v>
      </c>
      <c r="H187" s="503">
        <f>(DSUM('3_Emisiones proceso'!$E$13:$L$35,"emisiones",'6.2_Resultados España'!E$71:E187)/1000)-SUM(H$72:H186)</f>
        <v>0</v>
      </c>
      <c r="I187" s="503"/>
      <c r="J187" s="504">
        <f t="shared" si="4"/>
        <v>0</v>
      </c>
      <c r="K187" s="504"/>
      <c r="L187" s="504"/>
      <c r="M187" s="504"/>
      <c r="N187" s="503">
        <f>(DSUM('4.2_Electricidad España'!$E$19:$J$41,"emisiones",'6.2_Resultados España'!E$71:E187)/1000)-SUM(N$72:N186)</f>
        <v>0</v>
      </c>
      <c r="O187" s="503"/>
      <c r="P187" s="504">
        <f t="shared" si="5"/>
        <v>0</v>
      </c>
      <c r="Q187" s="504"/>
      <c r="R187" s="504"/>
    </row>
    <row r="188" spans="5:18" x14ac:dyDescent="0.3">
      <c r="E188" s="195" t="str">
        <f>IF(Dades!C778="","",Dades!C778)</f>
        <v/>
      </c>
      <c r="F188" s="397">
        <f>(DSUM('1_Combustibles fósiles'!$E$17:$N$39,"emisiones",'6.2_Resultados España'!E$71:E188)/1000)-SUM(F$72:F187)</f>
        <v>0</v>
      </c>
      <c r="G188" s="397">
        <f>(DSUM('2_Fluorados'!$E$11:$P$33,"emisiones",'6.2_Resultados España'!E$71:E188)/1000)-SUM(G$72:G187)</f>
        <v>0</v>
      </c>
      <c r="H188" s="503">
        <f>(DSUM('3_Emisiones proceso'!$E$13:$L$35,"emisiones",'6.2_Resultados España'!E$71:E188)/1000)-SUM(H$72:H187)</f>
        <v>0</v>
      </c>
      <c r="I188" s="503"/>
      <c r="J188" s="504">
        <f t="shared" si="4"/>
        <v>0</v>
      </c>
      <c r="K188" s="504"/>
      <c r="L188" s="504"/>
      <c r="M188" s="504"/>
      <c r="N188" s="503">
        <f>(DSUM('4.2_Electricidad España'!$E$19:$J$41,"emisiones",'6.2_Resultados España'!E$71:E188)/1000)-SUM(N$72:N187)</f>
        <v>0</v>
      </c>
      <c r="O188" s="503"/>
      <c r="P188" s="504">
        <f t="shared" si="5"/>
        <v>0</v>
      </c>
      <c r="Q188" s="504"/>
      <c r="R188" s="504"/>
    </row>
    <row r="189" spans="5:18" x14ac:dyDescent="0.3">
      <c r="E189" s="195" t="str">
        <f>IF(Dades!C779="","",Dades!C779)</f>
        <v/>
      </c>
      <c r="F189" s="397">
        <f>(DSUM('1_Combustibles fósiles'!$E$17:$N$39,"emisiones",'6.2_Resultados España'!E$71:E189)/1000)-SUM(F$72:F188)</f>
        <v>0</v>
      </c>
      <c r="G189" s="397">
        <f>(DSUM('2_Fluorados'!$E$11:$P$33,"emisiones",'6.2_Resultados España'!E$71:E189)/1000)-SUM(G$72:G188)</f>
        <v>0</v>
      </c>
      <c r="H189" s="503">
        <f>(DSUM('3_Emisiones proceso'!$E$13:$L$35,"emisiones",'6.2_Resultados España'!E$71:E189)/1000)-SUM(H$72:H188)</f>
        <v>0</v>
      </c>
      <c r="I189" s="503"/>
      <c r="J189" s="504">
        <f t="shared" si="4"/>
        <v>0</v>
      </c>
      <c r="K189" s="504"/>
      <c r="L189" s="504"/>
      <c r="M189" s="504"/>
      <c r="N189" s="503">
        <f>(DSUM('4.2_Electricidad España'!$E$19:$J$41,"emisiones",'6.2_Resultados España'!E$71:E189)/1000)-SUM(N$72:N188)</f>
        <v>0</v>
      </c>
      <c r="O189" s="503"/>
      <c r="P189" s="504">
        <f t="shared" si="5"/>
        <v>0</v>
      </c>
      <c r="Q189" s="504"/>
      <c r="R189" s="504"/>
    </row>
    <row r="190" spans="5:18" x14ac:dyDescent="0.3">
      <c r="E190" s="195" t="str">
        <f>IF(Dades!C780="","",Dades!C780)</f>
        <v/>
      </c>
      <c r="F190" s="397">
        <f>(DSUM('1_Combustibles fósiles'!$E$17:$N$39,"emisiones",'6.2_Resultados España'!E$71:E190)/1000)-SUM(F$72:F189)</f>
        <v>0</v>
      </c>
      <c r="G190" s="397">
        <f>(DSUM('2_Fluorados'!$E$11:$P$33,"emisiones",'6.2_Resultados España'!E$71:E190)/1000)-SUM(G$72:G189)</f>
        <v>0</v>
      </c>
      <c r="H190" s="503">
        <f>(DSUM('3_Emisiones proceso'!$E$13:$L$35,"emisiones",'6.2_Resultados España'!E$71:E190)/1000)-SUM(H$72:H189)</f>
        <v>0</v>
      </c>
      <c r="I190" s="503"/>
      <c r="J190" s="504">
        <f t="shared" si="4"/>
        <v>0</v>
      </c>
      <c r="K190" s="504"/>
      <c r="L190" s="504"/>
      <c r="M190" s="504"/>
      <c r="N190" s="503">
        <f>(DSUM('4.2_Electricidad España'!$E$19:$J$41,"emisiones",'6.2_Resultados España'!E$71:E190)/1000)-SUM(N$72:N189)</f>
        <v>0</v>
      </c>
      <c r="O190" s="503"/>
      <c r="P190" s="504">
        <f t="shared" si="5"/>
        <v>0</v>
      </c>
      <c r="Q190" s="504"/>
      <c r="R190" s="504"/>
    </row>
    <row r="191" spans="5:18" x14ac:dyDescent="0.3">
      <c r="E191" s="195" t="str">
        <f>IF(Dades!C781="","",Dades!C781)</f>
        <v/>
      </c>
      <c r="F191" s="397">
        <f>(DSUM('1_Combustibles fósiles'!$E$17:$N$39,"emisiones",'6.2_Resultados España'!E$71:E191)/1000)-SUM(F$72:F190)</f>
        <v>0</v>
      </c>
      <c r="G191" s="397">
        <f>(DSUM('2_Fluorados'!$E$11:$P$33,"emisiones",'6.2_Resultados España'!E$71:E191)/1000)-SUM(G$72:G190)</f>
        <v>0</v>
      </c>
      <c r="H191" s="503">
        <f>(DSUM('3_Emisiones proceso'!$E$13:$L$35,"emisiones",'6.2_Resultados España'!E$71:E191)/1000)-SUM(H$72:H190)</f>
        <v>0</v>
      </c>
      <c r="I191" s="503"/>
      <c r="J191" s="504">
        <f t="shared" si="4"/>
        <v>0</v>
      </c>
      <c r="K191" s="504"/>
      <c r="L191" s="504"/>
      <c r="M191" s="504"/>
      <c r="N191" s="503">
        <f>(DSUM('4.2_Electricidad España'!$E$19:$J$41,"emisiones",'6.2_Resultados España'!E$71:E191)/1000)-SUM(N$72:N190)</f>
        <v>0</v>
      </c>
      <c r="O191" s="503"/>
      <c r="P191" s="504">
        <f t="shared" si="5"/>
        <v>0</v>
      </c>
      <c r="Q191" s="504"/>
      <c r="R191" s="504"/>
    </row>
    <row r="192" spans="5:18" x14ac:dyDescent="0.3">
      <c r="E192" s="195" t="str">
        <f>IF(Dades!C782="","",Dades!C782)</f>
        <v/>
      </c>
      <c r="F192" s="397">
        <f>(DSUM('1_Combustibles fósiles'!$E$17:$N$39,"emisiones",'6.2_Resultados España'!E$71:E192)/1000)-SUM(F$72:F191)</f>
        <v>0</v>
      </c>
      <c r="G192" s="397">
        <f>(DSUM('2_Fluorados'!$E$11:$P$33,"emisiones",'6.2_Resultados España'!E$71:E192)/1000)-SUM(G$72:G191)</f>
        <v>0</v>
      </c>
      <c r="H192" s="503">
        <f>(DSUM('3_Emisiones proceso'!$E$13:$L$35,"emisiones",'6.2_Resultados España'!E$71:E192)/1000)-SUM(H$72:H191)</f>
        <v>0</v>
      </c>
      <c r="I192" s="503"/>
      <c r="J192" s="504">
        <f t="shared" si="4"/>
        <v>0</v>
      </c>
      <c r="K192" s="504"/>
      <c r="L192" s="504"/>
      <c r="M192" s="504"/>
      <c r="N192" s="503">
        <f>(DSUM('4.2_Electricidad España'!$E$19:$J$41,"emisiones",'6.2_Resultados España'!E$71:E192)/1000)-SUM(N$72:N191)</f>
        <v>0</v>
      </c>
      <c r="O192" s="503"/>
      <c r="P192" s="504">
        <f t="shared" si="5"/>
        <v>0</v>
      </c>
      <c r="Q192" s="504"/>
      <c r="R192" s="504"/>
    </row>
    <row r="193" spans="5:18" x14ac:dyDescent="0.3">
      <c r="E193" s="195" t="str">
        <f>IF(Dades!C783="","",Dades!C783)</f>
        <v/>
      </c>
      <c r="F193" s="397">
        <f>(DSUM('1_Combustibles fósiles'!$E$17:$N$39,"emisiones",'6.2_Resultados España'!E$71:E193)/1000)-SUM(F$72:F192)</f>
        <v>0</v>
      </c>
      <c r="G193" s="397">
        <f>(DSUM('2_Fluorados'!$E$11:$P$33,"emisiones",'6.2_Resultados España'!E$71:E193)/1000)-SUM(G$72:G192)</f>
        <v>0</v>
      </c>
      <c r="H193" s="503">
        <f>(DSUM('3_Emisiones proceso'!$E$13:$L$35,"emisiones",'6.2_Resultados España'!E$71:E193)/1000)-SUM(H$72:H192)</f>
        <v>0</v>
      </c>
      <c r="I193" s="503"/>
      <c r="J193" s="504">
        <f t="shared" si="4"/>
        <v>0</v>
      </c>
      <c r="K193" s="504"/>
      <c r="L193" s="504"/>
      <c r="M193" s="504"/>
      <c r="N193" s="503">
        <f>(DSUM('4.2_Electricidad España'!$E$19:$J$41,"emisiones",'6.2_Resultados España'!E$71:E193)/1000)-SUM(N$72:N192)</f>
        <v>0</v>
      </c>
      <c r="O193" s="503"/>
      <c r="P193" s="504">
        <f t="shared" si="5"/>
        <v>0</v>
      </c>
      <c r="Q193" s="504"/>
      <c r="R193" s="504"/>
    </row>
    <row r="194" spans="5:18" x14ac:dyDescent="0.3">
      <c r="E194" s="195" t="str">
        <f>IF(Dades!C784="","",Dades!C784)</f>
        <v/>
      </c>
      <c r="F194" s="397">
        <f>(DSUM('1_Combustibles fósiles'!$E$17:$N$39,"emisiones",'6.2_Resultados España'!E$71:E194)/1000)-SUM(F$72:F193)</f>
        <v>0</v>
      </c>
      <c r="G194" s="397">
        <f>(DSUM('2_Fluorados'!$E$11:$P$33,"emisiones",'6.2_Resultados España'!E$71:E194)/1000)-SUM(G$72:G193)</f>
        <v>0</v>
      </c>
      <c r="H194" s="503">
        <f>(DSUM('3_Emisiones proceso'!$E$13:$L$35,"emisiones",'6.2_Resultados España'!E$71:E194)/1000)-SUM(H$72:H193)</f>
        <v>0</v>
      </c>
      <c r="I194" s="503"/>
      <c r="J194" s="504">
        <f t="shared" si="4"/>
        <v>0</v>
      </c>
      <c r="K194" s="504"/>
      <c r="L194" s="504"/>
      <c r="M194" s="504"/>
      <c r="N194" s="503">
        <f>(DSUM('4.2_Electricidad España'!$E$19:$J$41,"emisiones",'6.2_Resultados España'!E$71:E194)/1000)-SUM(N$72:N193)</f>
        <v>0</v>
      </c>
      <c r="O194" s="503"/>
      <c r="P194" s="504">
        <f t="shared" si="5"/>
        <v>0</v>
      </c>
      <c r="Q194" s="504"/>
      <c r="R194" s="504"/>
    </row>
    <row r="195" spans="5:18" x14ac:dyDescent="0.3">
      <c r="E195" s="195" t="str">
        <f>IF(Dades!C785="","",Dades!C785)</f>
        <v/>
      </c>
      <c r="F195" s="397">
        <f>(DSUM('1_Combustibles fósiles'!$E$17:$N$39,"emisiones",'6.2_Resultados España'!E$71:E195)/1000)-SUM(F$72:F194)</f>
        <v>0</v>
      </c>
      <c r="G195" s="397">
        <f>(DSUM('2_Fluorados'!$E$11:$P$33,"emisiones",'6.2_Resultados España'!E$71:E195)/1000)-SUM(G$72:G194)</f>
        <v>0</v>
      </c>
      <c r="H195" s="503">
        <f>(DSUM('3_Emisiones proceso'!$E$13:$L$35,"emisiones",'6.2_Resultados España'!E$71:E195)/1000)-SUM(H$72:H194)</f>
        <v>0</v>
      </c>
      <c r="I195" s="503"/>
      <c r="J195" s="504">
        <f t="shared" si="4"/>
        <v>0</v>
      </c>
      <c r="K195" s="504"/>
      <c r="L195" s="504"/>
      <c r="M195" s="504"/>
      <c r="N195" s="503">
        <f>(DSUM('4.2_Electricidad España'!$E$19:$J$41,"emisiones",'6.2_Resultados España'!E$71:E195)/1000)-SUM(N$72:N194)</f>
        <v>0</v>
      </c>
      <c r="O195" s="503"/>
      <c r="P195" s="504">
        <f t="shared" si="5"/>
        <v>0</v>
      </c>
      <c r="Q195" s="504"/>
      <c r="R195" s="504"/>
    </row>
    <row r="196" spans="5:18" x14ac:dyDescent="0.3">
      <c r="E196" s="195" t="str">
        <f>IF(Dades!C786="","",Dades!C786)</f>
        <v/>
      </c>
      <c r="F196" s="397">
        <f>(DSUM('1_Combustibles fósiles'!$E$17:$N$39,"emisiones",'6.2_Resultados España'!E$71:E196)/1000)-SUM(F$72:F195)</f>
        <v>0</v>
      </c>
      <c r="G196" s="397">
        <f>(DSUM('2_Fluorados'!$E$11:$P$33,"emisiones",'6.2_Resultados España'!E$71:E196)/1000)-SUM(G$72:G195)</f>
        <v>0</v>
      </c>
      <c r="H196" s="503">
        <f>(DSUM('3_Emisiones proceso'!$E$13:$L$35,"emisiones",'6.2_Resultados España'!E$71:E196)/1000)-SUM(H$72:H195)</f>
        <v>0</v>
      </c>
      <c r="I196" s="503"/>
      <c r="J196" s="504">
        <f t="shared" si="4"/>
        <v>0</v>
      </c>
      <c r="K196" s="504"/>
      <c r="L196" s="504"/>
      <c r="M196" s="504"/>
      <c r="N196" s="503">
        <f>(DSUM('4.2_Electricidad España'!$E$19:$J$41,"emisiones",'6.2_Resultados España'!E$71:E196)/1000)-SUM(N$72:N195)</f>
        <v>0</v>
      </c>
      <c r="O196" s="503"/>
      <c r="P196" s="504">
        <f t="shared" si="5"/>
        <v>0</v>
      </c>
      <c r="Q196" s="504"/>
      <c r="R196" s="504"/>
    </row>
    <row r="197" spans="5:18" x14ac:dyDescent="0.3">
      <c r="E197" s="195" t="str">
        <f>IF(Dades!C787="","",Dades!C787)</f>
        <v/>
      </c>
      <c r="F197" s="397">
        <f>(DSUM('1_Combustibles fósiles'!$E$17:$N$39,"emisiones",'6.2_Resultados España'!E$71:E197)/1000)-SUM(F$72:F196)</f>
        <v>0</v>
      </c>
      <c r="G197" s="397">
        <f>(DSUM('2_Fluorados'!$E$11:$P$33,"emisiones",'6.2_Resultados España'!E$71:E197)/1000)-SUM(G$72:G196)</f>
        <v>0</v>
      </c>
      <c r="H197" s="503">
        <f>(DSUM('3_Emisiones proceso'!$E$13:$L$35,"emisiones",'6.2_Resultados España'!E$71:E197)/1000)-SUM(H$72:H196)</f>
        <v>0</v>
      </c>
      <c r="I197" s="503"/>
      <c r="J197" s="504">
        <f t="shared" si="4"/>
        <v>0</v>
      </c>
      <c r="K197" s="504"/>
      <c r="L197" s="504"/>
      <c r="M197" s="504"/>
      <c r="N197" s="503">
        <f>(DSUM('4.2_Electricidad España'!$E$19:$J$41,"emisiones",'6.2_Resultados España'!E$71:E197)/1000)-SUM(N$72:N196)</f>
        <v>0</v>
      </c>
      <c r="O197" s="503"/>
      <c r="P197" s="504">
        <f t="shared" si="5"/>
        <v>0</v>
      </c>
      <c r="Q197" s="504"/>
      <c r="R197" s="504"/>
    </row>
    <row r="198" spans="5:18" x14ac:dyDescent="0.3">
      <c r="E198" s="195" t="str">
        <f>IF(Dades!C788="","",Dades!C788)</f>
        <v/>
      </c>
      <c r="F198" s="397">
        <f>(DSUM('1_Combustibles fósiles'!$E$17:$N$39,"emisiones",'6.2_Resultados España'!E$71:E198)/1000)-SUM(F$72:F197)</f>
        <v>0</v>
      </c>
      <c r="G198" s="397">
        <f>(DSUM('2_Fluorados'!$E$11:$P$33,"emisiones",'6.2_Resultados España'!E$71:E198)/1000)-SUM(G$72:G197)</f>
        <v>0</v>
      </c>
      <c r="H198" s="503">
        <f>(DSUM('3_Emisiones proceso'!$E$13:$L$35,"emisiones",'6.2_Resultados España'!E$71:E198)/1000)-SUM(H$72:H197)</f>
        <v>0</v>
      </c>
      <c r="I198" s="503"/>
      <c r="J198" s="504">
        <f t="shared" si="4"/>
        <v>0</v>
      </c>
      <c r="K198" s="504"/>
      <c r="L198" s="504"/>
      <c r="M198" s="504"/>
      <c r="N198" s="503">
        <f>(DSUM('4.2_Electricidad España'!$E$19:$J$41,"emisiones",'6.2_Resultados España'!E$71:E198)/1000)-SUM(N$72:N197)</f>
        <v>0</v>
      </c>
      <c r="O198" s="503"/>
      <c r="P198" s="504">
        <f t="shared" si="5"/>
        <v>0</v>
      </c>
      <c r="Q198" s="504"/>
      <c r="R198" s="504"/>
    </row>
    <row r="199" spans="5:18" x14ac:dyDescent="0.3">
      <c r="E199" s="195" t="str">
        <f>IF(Dades!C789="","",Dades!C789)</f>
        <v/>
      </c>
      <c r="F199" s="397">
        <f>(DSUM('1_Combustibles fósiles'!$E$17:$N$39,"emisiones",'6.2_Resultados España'!E$71:E199)/1000)-SUM(F$72:F198)</f>
        <v>0</v>
      </c>
      <c r="G199" s="397">
        <f>(DSUM('2_Fluorados'!$E$11:$P$33,"emisiones",'6.2_Resultados España'!E$71:E199)/1000)-SUM(G$72:G198)</f>
        <v>0</v>
      </c>
      <c r="H199" s="503">
        <f>(DSUM('3_Emisiones proceso'!$E$13:$L$35,"emisiones",'6.2_Resultados España'!E$71:E199)/1000)-SUM(H$72:H198)</f>
        <v>0</v>
      </c>
      <c r="I199" s="503"/>
      <c r="J199" s="504">
        <f t="shared" si="4"/>
        <v>0</v>
      </c>
      <c r="K199" s="504"/>
      <c r="L199" s="504"/>
      <c r="M199" s="504"/>
      <c r="N199" s="503">
        <f>(DSUM('4.2_Electricidad España'!$E$19:$J$41,"emisiones",'6.2_Resultados España'!E$71:E199)/1000)-SUM(N$72:N198)</f>
        <v>0</v>
      </c>
      <c r="O199" s="503"/>
      <c r="P199" s="504">
        <f t="shared" si="5"/>
        <v>0</v>
      </c>
      <c r="Q199" s="504"/>
      <c r="R199" s="504"/>
    </row>
    <row r="200" spans="5:18" x14ac:dyDescent="0.3">
      <c r="E200" s="195" t="str">
        <f>IF(Dades!C790="","",Dades!C790)</f>
        <v/>
      </c>
      <c r="F200" s="397">
        <f>(DSUM('1_Combustibles fósiles'!$E$17:$N$39,"emisiones",'6.2_Resultados España'!E$71:E200)/1000)-SUM(F$72:F199)</f>
        <v>0</v>
      </c>
      <c r="G200" s="397">
        <f>(DSUM('2_Fluorados'!$E$11:$P$33,"emisiones",'6.2_Resultados España'!E$71:E200)/1000)-SUM(G$72:G199)</f>
        <v>0</v>
      </c>
      <c r="H200" s="503">
        <f>(DSUM('3_Emisiones proceso'!$E$13:$L$35,"emisiones",'6.2_Resultados España'!E$71:E200)/1000)-SUM(H$72:H199)</f>
        <v>0</v>
      </c>
      <c r="I200" s="503"/>
      <c r="J200" s="504">
        <f t="shared" si="4"/>
        <v>0</v>
      </c>
      <c r="K200" s="504"/>
      <c r="L200" s="504"/>
      <c r="M200" s="504"/>
      <c r="N200" s="503">
        <f>(DSUM('4.2_Electricidad España'!$E$19:$J$41,"emisiones",'6.2_Resultados España'!E$71:E200)/1000)-SUM(N$72:N199)</f>
        <v>0</v>
      </c>
      <c r="O200" s="503"/>
      <c r="P200" s="504">
        <f t="shared" si="5"/>
        <v>0</v>
      </c>
      <c r="Q200" s="504"/>
      <c r="R200" s="504"/>
    </row>
    <row r="201" spans="5:18" x14ac:dyDescent="0.3">
      <c r="E201" s="195" t="str">
        <f>IF(Dades!C791="","",Dades!C791)</f>
        <v/>
      </c>
      <c r="F201" s="397">
        <f>(DSUM('1_Combustibles fósiles'!$E$17:$N$39,"emisiones",'6.2_Resultados España'!E$71:E201)/1000)-SUM(F$72:F200)</f>
        <v>0</v>
      </c>
      <c r="G201" s="397">
        <f>(DSUM('2_Fluorados'!$E$11:$P$33,"emisiones",'6.2_Resultados España'!E$71:E201)/1000)-SUM(G$72:G200)</f>
        <v>0</v>
      </c>
      <c r="H201" s="503">
        <f>(DSUM('3_Emisiones proceso'!$E$13:$L$35,"emisiones",'6.2_Resultados España'!E$71:E201)/1000)-SUM(H$72:H200)</f>
        <v>0</v>
      </c>
      <c r="I201" s="503"/>
      <c r="J201" s="504">
        <f t="shared" si="4"/>
        <v>0</v>
      </c>
      <c r="K201" s="504"/>
      <c r="L201" s="504"/>
      <c r="M201" s="504"/>
      <c r="N201" s="503">
        <f>(DSUM('4.2_Electricidad España'!$E$19:$J$41,"emisiones",'6.2_Resultados España'!E$71:E201)/1000)-SUM(N$72:N200)</f>
        <v>0</v>
      </c>
      <c r="O201" s="503"/>
      <c r="P201" s="504">
        <f t="shared" si="5"/>
        <v>0</v>
      </c>
      <c r="Q201" s="504"/>
      <c r="R201" s="504"/>
    </row>
    <row r="202" spans="5:18" x14ac:dyDescent="0.3">
      <c r="E202" s="195" t="str">
        <f>IF(Dades!C792="","",Dades!C792)</f>
        <v/>
      </c>
      <c r="F202" s="397">
        <f>(DSUM('1_Combustibles fósiles'!$E$17:$N$39,"emisiones",'6.2_Resultados España'!E$71:E202)/1000)-SUM(F$72:F201)</f>
        <v>0</v>
      </c>
      <c r="G202" s="397">
        <f>(DSUM('2_Fluorados'!$E$11:$P$33,"emisiones",'6.2_Resultados España'!E$71:E202)/1000)-SUM(G$72:G201)</f>
        <v>0</v>
      </c>
      <c r="H202" s="503">
        <f>(DSUM('3_Emisiones proceso'!$E$13:$L$35,"emisiones",'6.2_Resultados España'!E$71:E202)/1000)-SUM(H$72:H201)</f>
        <v>0</v>
      </c>
      <c r="I202" s="503"/>
      <c r="J202" s="504">
        <f t="shared" ref="J202:J265" si="6">SUM(F202:I202)</f>
        <v>0</v>
      </c>
      <c r="K202" s="504"/>
      <c r="L202" s="504"/>
      <c r="M202" s="504"/>
      <c r="N202" s="503">
        <f>(DSUM('4.2_Electricidad España'!$E$19:$J$41,"emisiones",'6.2_Resultados España'!E$71:E202)/1000)-SUM(N$72:N201)</f>
        <v>0</v>
      </c>
      <c r="O202" s="503"/>
      <c r="P202" s="504">
        <f t="shared" ref="P202:P265" si="7">J202+N202</f>
        <v>0</v>
      </c>
      <c r="Q202" s="504"/>
      <c r="R202" s="504"/>
    </row>
    <row r="203" spans="5:18" x14ac:dyDescent="0.3">
      <c r="E203" s="195" t="str">
        <f>IF(Dades!C793="","",Dades!C793)</f>
        <v/>
      </c>
      <c r="F203" s="397">
        <f>(DSUM('1_Combustibles fósiles'!$E$17:$N$39,"emisiones",'6.2_Resultados España'!E$71:E203)/1000)-SUM(F$72:F202)</f>
        <v>0</v>
      </c>
      <c r="G203" s="397">
        <f>(DSUM('2_Fluorados'!$E$11:$P$33,"emisiones",'6.2_Resultados España'!E$71:E203)/1000)-SUM(G$72:G202)</f>
        <v>0</v>
      </c>
      <c r="H203" s="503">
        <f>(DSUM('3_Emisiones proceso'!$E$13:$L$35,"emisiones",'6.2_Resultados España'!E$71:E203)/1000)-SUM(H$72:H202)</f>
        <v>0</v>
      </c>
      <c r="I203" s="503"/>
      <c r="J203" s="504">
        <f t="shared" si="6"/>
        <v>0</v>
      </c>
      <c r="K203" s="504"/>
      <c r="L203" s="504"/>
      <c r="M203" s="504"/>
      <c r="N203" s="503">
        <f>(DSUM('4.2_Electricidad España'!$E$19:$J$41,"emisiones",'6.2_Resultados España'!E$71:E203)/1000)-SUM(N$72:N202)</f>
        <v>0</v>
      </c>
      <c r="O203" s="503"/>
      <c r="P203" s="504">
        <f t="shared" si="7"/>
        <v>0</v>
      </c>
      <c r="Q203" s="504"/>
      <c r="R203" s="504"/>
    </row>
    <row r="204" spans="5:18" x14ac:dyDescent="0.3">
      <c r="E204" s="195" t="str">
        <f>IF(Dades!C794="","",Dades!C794)</f>
        <v/>
      </c>
      <c r="F204" s="397">
        <f>(DSUM('1_Combustibles fósiles'!$E$17:$N$39,"emisiones",'6.2_Resultados España'!E$71:E204)/1000)-SUM(F$72:F203)</f>
        <v>0</v>
      </c>
      <c r="G204" s="397">
        <f>(DSUM('2_Fluorados'!$E$11:$P$33,"emisiones",'6.2_Resultados España'!E$71:E204)/1000)-SUM(G$72:G203)</f>
        <v>0</v>
      </c>
      <c r="H204" s="503">
        <f>(DSUM('3_Emisiones proceso'!$E$13:$L$35,"emisiones",'6.2_Resultados España'!E$71:E204)/1000)-SUM(H$72:H203)</f>
        <v>0</v>
      </c>
      <c r="I204" s="503"/>
      <c r="J204" s="504">
        <f t="shared" si="6"/>
        <v>0</v>
      </c>
      <c r="K204" s="504"/>
      <c r="L204" s="504"/>
      <c r="M204" s="504"/>
      <c r="N204" s="503">
        <f>(DSUM('4.2_Electricidad España'!$E$19:$J$41,"emisiones",'6.2_Resultados España'!E$71:E204)/1000)-SUM(N$72:N203)</f>
        <v>0</v>
      </c>
      <c r="O204" s="503"/>
      <c r="P204" s="504">
        <f t="shared" si="7"/>
        <v>0</v>
      </c>
      <c r="Q204" s="504"/>
      <c r="R204" s="504"/>
    </row>
    <row r="205" spans="5:18" x14ac:dyDescent="0.3">
      <c r="E205" s="195" t="str">
        <f>IF(Dades!C795="","",Dades!C795)</f>
        <v/>
      </c>
      <c r="F205" s="397">
        <f>(DSUM('1_Combustibles fósiles'!$E$17:$N$39,"emisiones",'6.2_Resultados España'!E$71:E205)/1000)-SUM(F$72:F204)</f>
        <v>0</v>
      </c>
      <c r="G205" s="397">
        <f>(DSUM('2_Fluorados'!$E$11:$P$33,"emisiones",'6.2_Resultados España'!E$71:E205)/1000)-SUM(G$72:G204)</f>
        <v>0</v>
      </c>
      <c r="H205" s="503">
        <f>(DSUM('3_Emisiones proceso'!$E$13:$L$35,"emisiones",'6.2_Resultados España'!E$71:E205)/1000)-SUM(H$72:H204)</f>
        <v>0</v>
      </c>
      <c r="I205" s="503"/>
      <c r="J205" s="504">
        <f t="shared" si="6"/>
        <v>0</v>
      </c>
      <c r="K205" s="504"/>
      <c r="L205" s="504"/>
      <c r="M205" s="504"/>
      <c r="N205" s="503">
        <f>(DSUM('4.2_Electricidad España'!$E$19:$J$41,"emisiones",'6.2_Resultados España'!E$71:E205)/1000)-SUM(N$72:N204)</f>
        <v>0</v>
      </c>
      <c r="O205" s="503"/>
      <c r="P205" s="504">
        <f t="shared" si="7"/>
        <v>0</v>
      </c>
      <c r="Q205" s="504"/>
      <c r="R205" s="504"/>
    </row>
    <row r="206" spans="5:18" x14ac:dyDescent="0.3">
      <c r="E206" s="195" t="str">
        <f>IF(Dades!C796="","",Dades!C796)</f>
        <v/>
      </c>
      <c r="F206" s="397">
        <f>(DSUM('1_Combustibles fósiles'!$E$17:$N$39,"emisiones",'6.2_Resultados España'!E$71:E206)/1000)-SUM(F$72:F205)</f>
        <v>0</v>
      </c>
      <c r="G206" s="397">
        <f>(DSUM('2_Fluorados'!$E$11:$P$33,"emisiones",'6.2_Resultados España'!E$71:E206)/1000)-SUM(G$72:G205)</f>
        <v>0</v>
      </c>
      <c r="H206" s="503">
        <f>(DSUM('3_Emisiones proceso'!$E$13:$L$35,"emisiones",'6.2_Resultados España'!E$71:E206)/1000)-SUM(H$72:H205)</f>
        <v>0</v>
      </c>
      <c r="I206" s="503"/>
      <c r="J206" s="504">
        <f t="shared" si="6"/>
        <v>0</v>
      </c>
      <c r="K206" s="504"/>
      <c r="L206" s="504"/>
      <c r="M206" s="504"/>
      <c r="N206" s="503">
        <f>(DSUM('4.2_Electricidad España'!$E$19:$J$41,"emisiones",'6.2_Resultados España'!E$71:E206)/1000)-SUM(N$72:N205)</f>
        <v>0</v>
      </c>
      <c r="O206" s="503"/>
      <c r="P206" s="504">
        <f t="shared" si="7"/>
        <v>0</v>
      </c>
      <c r="Q206" s="504"/>
      <c r="R206" s="504"/>
    </row>
    <row r="207" spans="5:18" x14ac:dyDescent="0.3">
      <c r="E207" s="195" t="str">
        <f>IF(Dades!C797="","",Dades!C797)</f>
        <v/>
      </c>
      <c r="F207" s="397">
        <f>(DSUM('1_Combustibles fósiles'!$E$17:$N$39,"emisiones",'6.2_Resultados España'!E$71:E207)/1000)-SUM(F$72:F206)</f>
        <v>0</v>
      </c>
      <c r="G207" s="397">
        <f>(DSUM('2_Fluorados'!$E$11:$P$33,"emisiones",'6.2_Resultados España'!E$71:E207)/1000)-SUM(G$72:G206)</f>
        <v>0</v>
      </c>
      <c r="H207" s="503">
        <f>(DSUM('3_Emisiones proceso'!$E$13:$L$35,"emisiones",'6.2_Resultados España'!E$71:E207)/1000)-SUM(H$72:H206)</f>
        <v>0</v>
      </c>
      <c r="I207" s="503"/>
      <c r="J207" s="504">
        <f t="shared" si="6"/>
        <v>0</v>
      </c>
      <c r="K207" s="504"/>
      <c r="L207" s="504"/>
      <c r="M207" s="504"/>
      <c r="N207" s="503">
        <f>(DSUM('4.2_Electricidad España'!$E$19:$J$41,"emisiones",'6.2_Resultados España'!E$71:E207)/1000)-SUM(N$72:N206)</f>
        <v>0</v>
      </c>
      <c r="O207" s="503"/>
      <c r="P207" s="504">
        <f t="shared" si="7"/>
        <v>0</v>
      </c>
      <c r="Q207" s="504"/>
      <c r="R207" s="504"/>
    </row>
    <row r="208" spans="5:18" x14ac:dyDescent="0.3">
      <c r="E208" s="195" t="str">
        <f>IF(Dades!C798="","",Dades!C798)</f>
        <v/>
      </c>
      <c r="F208" s="397">
        <f>(DSUM('1_Combustibles fósiles'!$E$17:$N$39,"emisiones",'6.2_Resultados España'!E$71:E208)/1000)-SUM(F$72:F207)</f>
        <v>0</v>
      </c>
      <c r="G208" s="397">
        <f>(DSUM('2_Fluorados'!$E$11:$P$33,"emisiones",'6.2_Resultados España'!E$71:E208)/1000)-SUM(G$72:G207)</f>
        <v>0</v>
      </c>
      <c r="H208" s="503">
        <f>(DSUM('3_Emisiones proceso'!$E$13:$L$35,"emisiones",'6.2_Resultados España'!E$71:E208)/1000)-SUM(H$72:H207)</f>
        <v>0</v>
      </c>
      <c r="I208" s="503"/>
      <c r="J208" s="504">
        <f t="shared" si="6"/>
        <v>0</v>
      </c>
      <c r="K208" s="504"/>
      <c r="L208" s="504"/>
      <c r="M208" s="504"/>
      <c r="N208" s="503">
        <f>(DSUM('4.2_Electricidad España'!$E$19:$J$41,"emisiones",'6.2_Resultados España'!E$71:E208)/1000)-SUM(N$72:N207)</f>
        <v>0</v>
      </c>
      <c r="O208" s="503"/>
      <c r="P208" s="504">
        <f t="shared" si="7"/>
        <v>0</v>
      </c>
      <c r="Q208" s="504"/>
      <c r="R208" s="504"/>
    </row>
    <row r="209" spans="5:18" x14ac:dyDescent="0.3">
      <c r="E209" s="195" t="str">
        <f>IF(Dades!C799="","",Dades!C799)</f>
        <v/>
      </c>
      <c r="F209" s="397">
        <f>(DSUM('1_Combustibles fósiles'!$E$17:$N$39,"emisiones",'6.2_Resultados España'!E$71:E209)/1000)-SUM(F$72:F208)</f>
        <v>0</v>
      </c>
      <c r="G209" s="397">
        <f>(DSUM('2_Fluorados'!$E$11:$P$33,"emisiones",'6.2_Resultados España'!E$71:E209)/1000)-SUM(G$72:G208)</f>
        <v>0</v>
      </c>
      <c r="H209" s="503">
        <f>(DSUM('3_Emisiones proceso'!$E$13:$L$35,"emisiones",'6.2_Resultados España'!E$71:E209)/1000)-SUM(H$72:H208)</f>
        <v>0</v>
      </c>
      <c r="I209" s="503"/>
      <c r="J209" s="504">
        <f t="shared" si="6"/>
        <v>0</v>
      </c>
      <c r="K209" s="504"/>
      <c r="L209" s="504"/>
      <c r="M209" s="504"/>
      <c r="N209" s="503">
        <f>(DSUM('4.2_Electricidad España'!$E$19:$J$41,"emisiones",'6.2_Resultados España'!E$71:E209)/1000)-SUM(N$72:N208)</f>
        <v>0</v>
      </c>
      <c r="O209" s="503"/>
      <c r="P209" s="504">
        <f t="shared" si="7"/>
        <v>0</v>
      </c>
      <c r="Q209" s="504"/>
      <c r="R209" s="504"/>
    </row>
    <row r="210" spans="5:18" x14ac:dyDescent="0.3">
      <c r="E210" s="195" t="str">
        <f>IF(Dades!C800="","",Dades!C800)</f>
        <v/>
      </c>
      <c r="F210" s="397">
        <f>(DSUM('1_Combustibles fósiles'!$E$17:$N$39,"emisiones",'6.2_Resultados España'!E$71:E210)/1000)-SUM(F$72:F209)</f>
        <v>0</v>
      </c>
      <c r="G210" s="397">
        <f>(DSUM('2_Fluorados'!$E$11:$P$33,"emisiones",'6.2_Resultados España'!E$71:E210)/1000)-SUM(G$72:G209)</f>
        <v>0</v>
      </c>
      <c r="H210" s="503">
        <f>(DSUM('3_Emisiones proceso'!$E$13:$L$35,"emisiones",'6.2_Resultados España'!E$71:E210)/1000)-SUM(H$72:H209)</f>
        <v>0</v>
      </c>
      <c r="I210" s="503"/>
      <c r="J210" s="504">
        <f t="shared" si="6"/>
        <v>0</v>
      </c>
      <c r="K210" s="504"/>
      <c r="L210" s="504"/>
      <c r="M210" s="504"/>
      <c r="N210" s="503">
        <f>(DSUM('4.2_Electricidad España'!$E$19:$J$41,"emisiones",'6.2_Resultados España'!E$71:E210)/1000)-SUM(N$72:N209)</f>
        <v>0</v>
      </c>
      <c r="O210" s="503"/>
      <c r="P210" s="504">
        <f t="shared" si="7"/>
        <v>0</v>
      </c>
      <c r="Q210" s="504"/>
      <c r="R210" s="504"/>
    </row>
    <row r="211" spans="5:18" x14ac:dyDescent="0.3">
      <c r="E211" s="195" t="str">
        <f>IF(Dades!C801="","",Dades!C801)</f>
        <v/>
      </c>
      <c r="F211" s="397">
        <f>(DSUM('1_Combustibles fósiles'!$E$17:$N$39,"emisiones",'6.2_Resultados España'!E$71:E211)/1000)-SUM(F$72:F210)</f>
        <v>0</v>
      </c>
      <c r="G211" s="397">
        <f>(DSUM('2_Fluorados'!$E$11:$P$33,"emisiones",'6.2_Resultados España'!E$71:E211)/1000)-SUM(G$72:G210)</f>
        <v>0</v>
      </c>
      <c r="H211" s="503">
        <f>(DSUM('3_Emisiones proceso'!$E$13:$L$35,"emisiones",'6.2_Resultados España'!E$71:E211)/1000)-SUM(H$72:H210)</f>
        <v>0</v>
      </c>
      <c r="I211" s="503"/>
      <c r="J211" s="504">
        <f t="shared" si="6"/>
        <v>0</v>
      </c>
      <c r="K211" s="504"/>
      <c r="L211" s="504"/>
      <c r="M211" s="504"/>
      <c r="N211" s="503">
        <f>(DSUM('4.2_Electricidad España'!$E$19:$J$41,"emisiones",'6.2_Resultados España'!E$71:E211)/1000)-SUM(N$72:N210)</f>
        <v>0</v>
      </c>
      <c r="O211" s="503"/>
      <c r="P211" s="504">
        <f t="shared" si="7"/>
        <v>0</v>
      </c>
      <c r="Q211" s="504"/>
      <c r="R211" s="504"/>
    </row>
    <row r="212" spans="5:18" x14ac:dyDescent="0.3">
      <c r="E212" s="195" t="str">
        <f>IF(Dades!C802="","",Dades!C802)</f>
        <v/>
      </c>
      <c r="F212" s="397">
        <f>(DSUM('1_Combustibles fósiles'!$E$17:$N$39,"emisiones",'6.2_Resultados España'!E$71:E212)/1000)-SUM(F$72:F211)</f>
        <v>0</v>
      </c>
      <c r="G212" s="397">
        <f>(DSUM('2_Fluorados'!$E$11:$P$33,"emisiones",'6.2_Resultados España'!E$71:E212)/1000)-SUM(G$72:G211)</f>
        <v>0</v>
      </c>
      <c r="H212" s="503">
        <f>(DSUM('3_Emisiones proceso'!$E$13:$L$35,"emisiones",'6.2_Resultados España'!E$71:E212)/1000)-SUM(H$72:H211)</f>
        <v>0</v>
      </c>
      <c r="I212" s="503"/>
      <c r="J212" s="504">
        <f t="shared" si="6"/>
        <v>0</v>
      </c>
      <c r="K212" s="504"/>
      <c r="L212" s="504"/>
      <c r="M212" s="504"/>
      <c r="N212" s="503">
        <f>(DSUM('4.2_Electricidad España'!$E$19:$J$41,"emisiones",'6.2_Resultados España'!E$71:E212)/1000)-SUM(N$72:N211)</f>
        <v>0</v>
      </c>
      <c r="O212" s="503"/>
      <c r="P212" s="504">
        <f t="shared" si="7"/>
        <v>0</v>
      </c>
      <c r="Q212" s="504"/>
      <c r="R212" s="504"/>
    </row>
    <row r="213" spans="5:18" x14ac:dyDescent="0.3">
      <c r="E213" s="195" t="str">
        <f>IF(Dades!C803="","",Dades!C803)</f>
        <v/>
      </c>
      <c r="F213" s="397">
        <f>(DSUM('1_Combustibles fósiles'!$E$17:$N$39,"emisiones",'6.2_Resultados España'!E$71:E213)/1000)-SUM(F$72:F212)</f>
        <v>0</v>
      </c>
      <c r="G213" s="397">
        <f>(DSUM('2_Fluorados'!$E$11:$P$33,"emisiones",'6.2_Resultados España'!E$71:E213)/1000)-SUM(G$72:G212)</f>
        <v>0</v>
      </c>
      <c r="H213" s="503">
        <f>(DSUM('3_Emisiones proceso'!$E$13:$L$35,"emisiones",'6.2_Resultados España'!E$71:E213)/1000)-SUM(H$72:H212)</f>
        <v>0</v>
      </c>
      <c r="I213" s="503"/>
      <c r="J213" s="504">
        <f t="shared" si="6"/>
        <v>0</v>
      </c>
      <c r="K213" s="504"/>
      <c r="L213" s="504"/>
      <c r="M213" s="504"/>
      <c r="N213" s="503">
        <f>(DSUM('4.2_Electricidad España'!$E$19:$J$41,"emisiones",'6.2_Resultados España'!E$71:E213)/1000)-SUM(N$72:N212)</f>
        <v>0</v>
      </c>
      <c r="O213" s="503"/>
      <c r="P213" s="504">
        <f t="shared" si="7"/>
        <v>0</v>
      </c>
      <c r="Q213" s="504"/>
      <c r="R213" s="504"/>
    </row>
    <row r="214" spans="5:18" x14ac:dyDescent="0.3">
      <c r="E214" s="195" t="str">
        <f>IF(Dades!C804="","",Dades!C804)</f>
        <v/>
      </c>
      <c r="F214" s="397">
        <f>(DSUM('1_Combustibles fósiles'!$E$17:$N$39,"emisiones",'6.2_Resultados España'!E$71:E214)/1000)-SUM(F$72:F213)</f>
        <v>0</v>
      </c>
      <c r="G214" s="397">
        <f>(DSUM('2_Fluorados'!$E$11:$P$33,"emisiones",'6.2_Resultados España'!E$71:E214)/1000)-SUM(G$72:G213)</f>
        <v>0</v>
      </c>
      <c r="H214" s="503">
        <f>(DSUM('3_Emisiones proceso'!$E$13:$L$35,"emisiones",'6.2_Resultados España'!E$71:E214)/1000)-SUM(H$72:H213)</f>
        <v>0</v>
      </c>
      <c r="I214" s="503"/>
      <c r="J214" s="504">
        <f t="shared" si="6"/>
        <v>0</v>
      </c>
      <c r="K214" s="504"/>
      <c r="L214" s="504"/>
      <c r="M214" s="504"/>
      <c r="N214" s="503">
        <f>(DSUM('4.2_Electricidad España'!$E$19:$J$41,"emisiones",'6.2_Resultados España'!E$71:E214)/1000)-SUM(N$72:N213)</f>
        <v>0</v>
      </c>
      <c r="O214" s="503"/>
      <c r="P214" s="504">
        <f t="shared" si="7"/>
        <v>0</v>
      </c>
      <c r="Q214" s="504"/>
      <c r="R214" s="504"/>
    </row>
    <row r="215" spans="5:18" x14ac:dyDescent="0.3">
      <c r="E215" s="195" t="str">
        <f>IF(Dades!C805="","",Dades!C805)</f>
        <v/>
      </c>
      <c r="F215" s="397">
        <f>(DSUM('1_Combustibles fósiles'!$E$17:$N$39,"emisiones",'6.2_Resultados España'!E$71:E215)/1000)-SUM(F$72:F214)</f>
        <v>0</v>
      </c>
      <c r="G215" s="397">
        <f>(DSUM('2_Fluorados'!$E$11:$P$33,"emisiones",'6.2_Resultados España'!E$71:E215)/1000)-SUM(G$72:G214)</f>
        <v>0</v>
      </c>
      <c r="H215" s="503">
        <f>(DSUM('3_Emisiones proceso'!$E$13:$L$35,"emisiones",'6.2_Resultados España'!E$71:E215)/1000)-SUM(H$72:H214)</f>
        <v>0</v>
      </c>
      <c r="I215" s="503"/>
      <c r="J215" s="504">
        <f t="shared" si="6"/>
        <v>0</v>
      </c>
      <c r="K215" s="504"/>
      <c r="L215" s="504"/>
      <c r="M215" s="504"/>
      <c r="N215" s="503">
        <f>(DSUM('4.2_Electricidad España'!$E$19:$J$41,"emisiones",'6.2_Resultados España'!E$71:E215)/1000)-SUM(N$72:N214)</f>
        <v>0</v>
      </c>
      <c r="O215" s="503"/>
      <c r="P215" s="504">
        <f t="shared" si="7"/>
        <v>0</v>
      </c>
      <c r="Q215" s="504"/>
      <c r="R215" s="504"/>
    </row>
    <row r="216" spans="5:18" x14ac:dyDescent="0.3">
      <c r="E216" s="195" t="str">
        <f>IF(Dades!C806="","",Dades!C806)</f>
        <v/>
      </c>
      <c r="F216" s="397">
        <f>(DSUM('1_Combustibles fósiles'!$E$17:$N$39,"emisiones",'6.2_Resultados España'!E$71:E216)/1000)-SUM(F$72:F215)</f>
        <v>0</v>
      </c>
      <c r="G216" s="397">
        <f>(DSUM('2_Fluorados'!$E$11:$P$33,"emisiones",'6.2_Resultados España'!E$71:E216)/1000)-SUM(G$72:G215)</f>
        <v>0</v>
      </c>
      <c r="H216" s="503">
        <f>(DSUM('3_Emisiones proceso'!$E$13:$L$35,"emisiones",'6.2_Resultados España'!E$71:E216)/1000)-SUM(H$72:H215)</f>
        <v>0</v>
      </c>
      <c r="I216" s="503"/>
      <c r="J216" s="504">
        <f t="shared" si="6"/>
        <v>0</v>
      </c>
      <c r="K216" s="504"/>
      <c r="L216" s="504"/>
      <c r="M216" s="504"/>
      <c r="N216" s="503">
        <f>(DSUM('4.2_Electricidad España'!$E$19:$J$41,"emisiones",'6.2_Resultados España'!E$71:E216)/1000)-SUM(N$72:N215)</f>
        <v>0</v>
      </c>
      <c r="O216" s="503"/>
      <c r="P216" s="504">
        <f t="shared" si="7"/>
        <v>0</v>
      </c>
      <c r="Q216" s="504"/>
      <c r="R216" s="504"/>
    </row>
    <row r="217" spans="5:18" x14ac:dyDescent="0.3">
      <c r="E217" s="195" t="str">
        <f>IF(Dades!C807="","",Dades!C807)</f>
        <v/>
      </c>
      <c r="F217" s="397">
        <f>(DSUM('1_Combustibles fósiles'!$E$17:$N$39,"emisiones",'6.2_Resultados España'!E$71:E217)/1000)-SUM(F$72:F216)</f>
        <v>0</v>
      </c>
      <c r="G217" s="397">
        <f>(DSUM('2_Fluorados'!$E$11:$P$33,"emisiones",'6.2_Resultados España'!E$71:E217)/1000)-SUM(G$72:G216)</f>
        <v>0</v>
      </c>
      <c r="H217" s="503">
        <f>(DSUM('3_Emisiones proceso'!$E$13:$L$35,"emisiones",'6.2_Resultados España'!E$71:E217)/1000)-SUM(H$72:H216)</f>
        <v>0</v>
      </c>
      <c r="I217" s="503"/>
      <c r="J217" s="504">
        <f t="shared" si="6"/>
        <v>0</v>
      </c>
      <c r="K217" s="504"/>
      <c r="L217" s="504"/>
      <c r="M217" s="504"/>
      <c r="N217" s="503">
        <f>(DSUM('4.2_Electricidad España'!$E$19:$J$41,"emisiones",'6.2_Resultados España'!E$71:E217)/1000)-SUM(N$72:N216)</f>
        <v>0</v>
      </c>
      <c r="O217" s="503"/>
      <c r="P217" s="504">
        <f t="shared" si="7"/>
        <v>0</v>
      </c>
      <c r="Q217" s="504"/>
      <c r="R217" s="504"/>
    </row>
    <row r="218" spans="5:18" x14ac:dyDescent="0.3">
      <c r="E218" s="195" t="str">
        <f>IF(Dades!C808="","",Dades!C808)</f>
        <v/>
      </c>
      <c r="F218" s="397">
        <f>(DSUM('1_Combustibles fósiles'!$E$17:$N$39,"emisiones",'6.2_Resultados España'!E$71:E218)/1000)-SUM(F$72:F217)</f>
        <v>0</v>
      </c>
      <c r="G218" s="397">
        <f>(DSUM('2_Fluorados'!$E$11:$P$33,"emisiones",'6.2_Resultados España'!E$71:E218)/1000)-SUM(G$72:G217)</f>
        <v>0</v>
      </c>
      <c r="H218" s="503">
        <f>(DSUM('3_Emisiones proceso'!$E$13:$L$35,"emisiones",'6.2_Resultados España'!E$71:E218)/1000)-SUM(H$72:H217)</f>
        <v>0</v>
      </c>
      <c r="I218" s="503"/>
      <c r="J218" s="504">
        <f t="shared" si="6"/>
        <v>0</v>
      </c>
      <c r="K218" s="504"/>
      <c r="L218" s="504"/>
      <c r="M218" s="504"/>
      <c r="N218" s="503">
        <f>(DSUM('4.2_Electricidad España'!$E$19:$J$41,"emisiones",'6.2_Resultados España'!E$71:E218)/1000)-SUM(N$72:N217)</f>
        <v>0</v>
      </c>
      <c r="O218" s="503"/>
      <c r="P218" s="504">
        <f t="shared" si="7"/>
        <v>0</v>
      </c>
      <c r="Q218" s="504"/>
      <c r="R218" s="504"/>
    </row>
    <row r="219" spans="5:18" x14ac:dyDescent="0.3">
      <c r="E219" s="195" t="str">
        <f>IF(Dades!C809="","",Dades!C809)</f>
        <v/>
      </c>
      <c r="F219" s="397">
        <f>(DSUM('1_Combustibles fósiles'!$E$17:$N$39,"emisiones",'6.2_Resultados España'!E$71:E219)/1000)-SUM(F$72:F218)</f>
        <v>0</v>
      </c>
      <c r="G219" s="397">
        <f>(DSUM('2_Fluorados'!$E$11:$P$33,"emisiones",'6.2_Resultados España'!E$71:E219)/1000)-SUM(G$72:G218)</f>
        <v>0</v>
      </c>
      <c r="H219" s="503">
        <f>(DSUM('3_Emisiones proceso'!$E$13:$L$35,"emisiones",'6.2_Resultados España'!E$71:E219)/1000)-SUM(H$72:H218)</f>
        <v>0</v>
      </c>
      <c r="I219" s="503"/>
      <c r="J219" s="504">
        <f t="shared" si="6"/>
        <v>0</v>
      </c>
      <c r="K219" s="504"/>
      <c r="L219" s="504"/>
      <c r="M219" s="504"/>
      <c r="N219" s="503">
        <f>(DSUM('4.2_Electricidad España'!$E$19:$J$41,"emisiones",'6.2_Resultados España'!E$71:E219)/1000)-SUM(N$72:N218)</f>
        <v>0</v>
      </c>
      <c r="O219" s="503"/>
      <c r="P219" s="504">
        <f t="shared" si="7"/>
        <v>0</v>
      </c>
      <c r="Q219" s="504"/>
      <c r="R219" s="504"/>
    </row>
    <row r="220" spans="5:18" x14ac:dyDescent="0.3">
      <c r="E220" s="195" t="str">
        <f>IF(Dades!C810="","",Dades!C810)</f>
        <v/>
      </c>
      <c r="F220" s="397">
        <f>(DSUM('1_Combustibles fósiles'!$E$17:$N$39,"emisiones",'6.2_Resultados España'!E$71:E220)/1000)-SUM(F$72:F219)</f>
        <v>0</v>
      </c>
      <c r="G220" s="397">
        <f>(DSUM('2_Fluorados'!$E$11:$P$33,"emisiones",'6.2_Resultados España'!E$71:E220)/1000)-SUM(G$72:G219)</f>
        <v>0</v>
      </c>
      <c r="H220" s="503">
        <f>(DSUM('3_Emisiones proceso'!$E$13:$L$35,"emisiones",'6.2_Resultados España'!E$71:E220)/1000)-SUM(H$72:H219)</f>
        <v>0</v>
      </c>
      <c r="I220" s="503"/>
      <c r="J220" s="504">
        <f t="shared" si="6"/>
        <v>0</v>
      </c>
      <c r="K220" s="504"/>
      <c r="L220" s="504"/>
      <c r="M220" s="504"/>
      <c r="N220" s="503">
        <f>(DSUM('4.2_Electricidad España'!$E$19:$J$41,"emisiones",'6.2_Resultados España'!E$71:E220)/1000)-SUM(N$72:N219)</f>
        <v>0</v>
      </c>
      <c r="O220" s="503"/>
      <c r="P220" s="504">
        <f t="shared" si="7"/>
        <v>0</v>
      </c>
      <c r="Q220" s="504"/>
      <c r="R220" s="504"/>
    </row>
    <row r="221" spans="5:18" x14ac:dyDescent="0.3">
      <c r="E221" s="195" t="str">
        <f>IF(Dades!C811="","",Dades!C811)</f>
        <v/>
      </c>
      <c r="F221" s="397">
        <f>(DSUM('1_Combustibles fósiles'!$E$17:$N$39,"emisiones",'6.2_Resultados España'!E$71:E221)/1000)-SUM(F$72:F220)</f>
        <v>0</v>
      </c>
      <c r="G221" s="397">
        <f>(DSUM('2_Fluorados'!$E$11:$P$33,"emisiones",'6.2_Resultados España'!E$71:E221)/1000)-SUM(G$72:G220)</f>
        <v>0</v>
      </c>
      <c r="H221" s="503">
        <f>(DSUM('3_Emisiones proceso'!$E$13:$L$35,"emisiones",'6.2_Resultados España'!E$71:E221)/1000)-SUM(H$72:H220)</f>
        <v>0</v>
      </c>
      <c r="I221" s="503"/>
      <c r="J221" s="504">
        <f t="shared" si="6"/>
        <v>0</v>
      </c>
      <c r="K221" s="504"/>
      <c r="L221" s="504"/>
      <c r="M221" s="504"/>
      <c r="N221" s="503">
        <f>(DSUM('4.2_Electricidad España'!$E$19:$J$41,"emisiones",'6.2_Resultados España'!E$71:E221)/1000)-SUM(N$72:N220)</f>
        <v>0</v>
      </c>
      <c r="O221" s="503"/>
      <c r="P221" s="504">
        <f t="shared" si="7"/>
        <v>0</v>
      </c>
      <c r="Q221" s="504"/>
      <c r="R221" s="504"/>
    </row>
    <row r="222" spans="5:18" x14ac:dyDescent="0.3">
      <c r="E222" s="195" t="str">
        <f>IF(Dades!C812="","",Dades!C812)</f>
        <v/>
      </c>
      <c r="F222" s="397">
        <f>(DSUM('1_Combustibles fósiles'!$E$17:$N$39,"emisiones",'6.2_Resultados España'!E$71:E222)/1000)-SUM(F$72:F221)</f>
        <v>0</v>
      </c>
      <c r="G222" s="397">
        <f>(DSUM('2_Fluorados'!$E$11:$P$33,"emisiones",'6.2_Resultados España'!E$71:E222)/1000)-SUM(G$72:G221)</f>
        <v>0</v>
      </c>
      <c r="H222" s="503">
        <f>(DSUM('3_Emisiones proceso'!$E$13:$L$35,"emisiones",'6.2_Resultados España'!E$71:E222)/1000)-SUM(H$72:H221)</f>
        <v>0</v>
      </c>
      <c r="I222" s="503"/>
      <c r="J222" s="504">
        <f t="shared" si="6"/>
        <v>0</v>
      </c>
      <c r="K222" s="504"/>
      <c r="L222" s="504"/>
      <c r="M222" s="504"/>
      <c r="N222" s="503">
        <f>(DSUM('4.2_Electricidad España'!$E$19:$J$41,"emisiones",'6.2_Resultados España'!E$71:E222)/1000)-SUM(N$72:N221)</f>
        <v>0</v>
      </c>
      <c r="O222" s="503"/>
      <c r="P222" s="504">
        <f t="shared" si="7"/>
        <v>0</v>
      </c>
      <c r="Q222" s="504"/>
      <c r="R222" s="504"/>
    </row>
    <row r="223" spans="5:18" x14ac:dyDescent="0.3">
      <c r="E223" s="195" t="str">
        <f>IF(Dades!C813="","",Dades!C813)</f>
        <v/>
      </c>
      <c r="F223" s="397">
        <f>(DSUM('1_Combustibles fósiles'!$E$17:$N$39,"emisiones",'6.2_Resultados España'!E$71:E223)/1000)-SUM(F$72:F222)</f>
        <v>0</v>
      </c>
      <c r="G223" s="397">
        <f>(DSUM('2_Fluorados'!$E$11:$P$33,"emisiones",'6.2_Resultados España'!E$71:E223)/1000)-SUM(G$72:G222)</f>
        <v>0</v>
      </c>
      <c r="H223" s="503">
        <f>(DSUM('3_Emisiones proceso'!$E$13:$L$35,"emisiones",'6.2_Resultados España'!E$71:E223)/1000)-SUM(H$72:H222)</f>
        <v>0</v>
      </c>
      <c r="I223" s="503"/>
      <c r="J223" s="504">
        <f t="shared" si="6"/>
        <v>0</v>
      </c>
      <c r="K223" s="504"/>
      <c r="L223" s="504"/>
      <c r="M223" s="504"/>
      <c r="N223" s="503">
        <f>(DSUM('4.2_Electricidad España'!$E$19:$J$41,"emisiones",'6.2_Resultados España'!E$71:E223)/1000)-SUM(N$72:N222)</f>
        <v>0</v>
      </c>
      <c r="O223" s="503"/>
      <c r="P223" s="504">
        <f t="shared" si="7"/>
        <v>0</v>
      </c>
      <c r="Q223" s="504"/>
      <c r="R223" s="504"/>
    </row>
    <row r="224" spans="5:18" x14ac:dyDescent="0.3">
      <c r="E224" s="195" t="str">
        <f>IF(Dades!C814="","",Dades!C814)</f>
        <v/>
      </c>
      <c r="F224" s="397">
        <f>(DSUM('1_Combustibles fósiles'!$E$17:$N$39,"emisiones",'6.2_Resultados España'!E$71:E224)/1000)-SUM(F$72:F223)</f>
        <v>0</v>
      </c>
      <c r="G224" s="397">
        <f>(DSUM('2_Fluorados'!$E$11:$P$33,"emisiones",'6.2_Resultados España'!E$71:E224)/1000)-SUM(G$72:G223)</f>
        <v>0</v>
      </c>
      <c r="H224" s="503">
        <f>(DSUM('3_Emisiones proceso'!$E$13:$L$35,"emisiones",'6.2_Resultados España'!E$71:E224)/1000)-SUM(H$72:H223)</f>
        <v>0</v>
      </c>
      <c r="I224" s="503"/>
      <c r="J224" s="504">
        <f t="shared" si="6"/>
        <v>0</v>
      </c>
      <c r="K224" s="504"/>
      <c r="L224" s="504"/>
      <c r="M224" s="504"/>
      <c r="N224" s="503">
        <f>(DSUM('4.2_Electricidad España'!$E$19:$J$41,"emisiones",'6.2_Resultados España'!E$71:E224)/1000)-SUM(N$72:N223)</f>
        <v>0</v>
      </c>
      <c r="O224" s="503"/>
      <c r="P224" s="504">
        <f t="shared" si="7"/>
        <v>0</v>
      </c>
      <c r="Q224" s="504"/>
      <c r="R224" s="504"/>
    </row>
    <row r="225" spans="5:18" x14ac:dyDescent="0.3">
      <c r="E225" s="195" t="str">
        <f>IF(Dades!C815="","",Dades!C815)</f>
        <v/>
      </c>
      <c r="F225" s="397">
        <f>(DSUM('1_Combustibles fósiles'!$E$17:$N$39,"emisiones",'6.2_Resultados España'!E$71:E225)/1000)-SUM(F$72:F224)</f>
        <v>0</v>
      </c>
      <c r="G225" s="397">
        <f>(DSUM('2_Fluorados'!$E$11:$P$33,"emisiones",'6.2_Resultados España'!E$71:E225)/1000)-SUM(G$72:G224)</f>
        <v>0</v>
      </c>
      <c r="H225" s="503">
        <f>(DSUM('3_Emisiones proceso'!$E$13:$L$35,"emisiones",'6.2_Resultados España'!E$71:E225)/1000)-SUM(H$72:H224)</f>
        <v>0</v>
      </c>
      <c r="I225" s="503"/>
      <c r="J225" s="504">
        <f t="shared" si="6"/>
        <v>0</v>
      </c>
      <c r="K225" s="504"/>
      <c r="L225" s="504"/>
      <c r="M225" s="504"/>
      <c r="N225" s="503">
        <f>(DSUM('4.2_Electricidad España'!$E$19:$J$41,"emisiones",'6.2_Resultados España'!E$71:E225)/1000)-SUM(N$72:N224)</f>
        <v>0</v>
      </c>
      <c r="O225" s="503"/>
      <c r="P225" s="504">
        <f t="shared" si="7"/>
        <v>0</v>
      </c>
      <c r="Q225" s="504"/>
      <c r="R225" s="504"/>
    </row>
    <row r="226" spans="5:18" x14ac:dyDescent="0.3">
      <c r="E226" s="195" t="str">
        <f>IF(Dades!C816="","",Dades!C816)</f>
        <v/>
      </c>
      <c r="F226" s="397">
        <f>(DSUM('1_Combustibles fósiles'!$E$17:$N$39,"emisiones",'6.2_Resultados España'!E$71:E226)/1000)-SUM(F$72:F225)</f>
        <v>0</v>
      </c>
      <c r="G226" s="397">
        <f>(DSUM('2_Fluorados'!$E$11:$P$33,"emisiones",'6.2_Resultados España'!E$71:E226)/1000)-SUM(G$72:G225)</f>
        <v>0</v>
      </c>
      <c r="H226" s="503">
        <f>(DSUM('3_Emisiones proceso'!$E$13:$L$35,"emisiones",'6.2_Resultados España'!E$71:E226)/1000)-SUM(H$72:H225)</f>
        <v>0</v>
      </c>
      <c r="I226" s="503"/>
      <c r="J226" s="504">
        <f t="shared" si="6"/>
        <v>0</v>
      </c>
      <c r="K226" s="504"/>
      <c r="L226" s="504"/>
      <c r="M226" s="504"/>
      <c r="N226" s="503">
        <f>(DSUM('4.2_Electricidad España'!$E$19:$J$41,"emisiones",'6.2_Resultados España'!E$71:E226)/1000)-SUM(N$72:N225)</f>
        <v>0</v>
      </c>
      <c r="O226" s="503"/>
      <c r="P226" s="504">
        <f t="shared" si="7"/>
        <v>0</v>
      </c>
      <c r="Q226" s="504"/>
      <c r="R226" s="504"/>
    </row>
    <row r="227" spans="5:18" x14ac:dyDescent="0.3">
      <c r="E227" s="195" t="str">
        <f>IF(Dades!C817="","",Dades!C817)</f>
        <v/>
      </c>
      <c r="F227" s="397">
        <f>(DSUM('1_Combustibles fósiles'!$E$17:$N$39,"emisiones",'6.2_Resultados España'!E$71:E227)/1000)-SUM(F$72:F226)</f>
        <v>0</v>
      </c>
      <c r="G227" s="397">
        <f>(DSUM('2_Fluorados'!$E$11:$P$33,"emisiones",'6.2_Resultados España'!E$71:E227)/1000)-SUM(G$72:G226)</f>
        <v>0</v>
      </c>
      <c r="H227" s="503">
        <f>(DSUM('3_Emisiones proceso'!$E$13:$L$35,"emisiones",'6.2_Resultados España'!E$71:E227)/1000)-SUM(H$72:H226)</f>
        <v>0</v>
      </c>
      <c r="I227" s="503"/>
      <c r="J227" s="504">
        <f t="shared" si="6"/>
        <v>0</v>
      </c>
      <c r="K227" s="504"/>
      <c r="L227" s="504"/>
      <c r="M227" s="504"/>
      <c r="N227" s="503">
        <f>(DSUM('4.2_Electricidad España'!$E$19:$J$41,"emisiones",'6.2_Resultados España'!E$71:E227)/1000)-SUM(N$72:N226)</f>
        <v>0</v>
      </c>
      <c r="O227" s="503"/>
      <c r="P227" s="504">
        <f t="shared" si="7"/>
        <v>0</v>
      </c>
      <c r="Q227" s="504"/>
      <c r="R227" s="504"/>
    </row>
    <row r="228" spans="5:18" x14ac:dyDescent="0.3">
      <c r="E228" s="195" t="str">
        <f>IF(Dades!C818="","",Dades!C818)</f>
        <v/>
      </c>
      <c r="F228" s="397">
        <f>(DSUM('1_Combustibles fósiles'!$E$17:$N$39,"emisiones",'6.2_Resultados España'!E$71:E228)/1000)-SUM(F$72:F227)</f>
        <v>0</v>
      </c>
      <c r="G228" s="397">
        <f>(DSUM('2_Fluorados'!$E$11:$P$33,"emisiones",'6.2_Resultados España'!E$71:E228)/1000)-SUM(G$72:G227)</f>
        <v>0</v>
      </c>
      <c r="H228" s="503">
        <f>(DSUM('3_Emisiones proceso'!$E$13:$L$35,"emisiones",'6.2_Resultados España'!E$71:E228)/1000)-SUM(H$72:H227)</f>
        <v>0</v>
      </c>
      <c r="I228" s="503"/>
      <c r="J228" s="504">
        <f t="shared" si="6"/>
        <v>0</v>
      </c>
      <c r="K228" s="504"/>
      <c r="L228" s="504"/>
      <c r="M228" s="504"/>
      <c r="N228" s="503">
        <f>(DSUM('4.2_Electricidad España'!$E$19:$J$41,"emisiones",'6.2_Resultados España'!E$71:E228)/1000)-SUM(N$72:N227)</f>
        <v>0</v>
      </c>
      <c r="O228" s="503"/>
      <c r="P228" s="504">
        <f t="shared" si="7"/>
        <v>0</v>
      </c>
      <c r="Q228" s="504"/>
      <c r="R228" s="504"/>
    </row>
    <row r="229" spans="5:18" x14ac:dyDescent="0.3">
      <c r="E229" s="195" t="str">
        <f>IF(Dades!C819="","",Dades!C819)</f>
        <v/>
      </c>
      <c r="F229" s="397">
        <f>(DSUM('1_Combustibles fósiles'!$E$17:$N$39,"emisiones",'6.2_Resultados España'!E$71:E229)/1000)-SUM(F$72:F228)</f>
        <v>0</v>
      </c>
      <c r="G229" s="397">
        <f>(DSUM('2_Fluorados'!$E$11:$P$33,"emisiones",'6.2_Resultados España'!E$71:E229)/1000)-SUM(G$72:G228)</f>
        <v>0</v>
      </c>
      <c r="H229" s="503">
        <f>(DSUM('3_Emisiones proceso'!$E$13:$L$35,"emisiones",'6.2_Resultados España'!E$71:E229)/1000)-SUM(H$72:H228)</f>
        <v>0</v>
      </c>
      <c r="I229" s="503"/>
      <c r="J229" s="504">
        <f t="shared" si="6"/>
        <v>0</v>
      </c>
      <c r="K229" s="504"/>
      <c r="L229" s="504"/>
      <c r="M229" s="504"/>
      <c r="N229" s="503">
        <f>(DSUM('4.2_Electricidad España'!$E$19:$J$41,"emisiones",'6.2_Resultados España'!E$71:E229)/1000)-SUM(N$72:N228)</f>
        <v>0</v>
      </c>
      <c r="O229" s="503"/>
      <c r="P229" s="504">
        <f t="shared" si="7"/>
        <v>0</v>
      </c>
      <c r="Q229" s="504"/>
      <c r="R229" s="504"/>
    </row>
    <row r="230" spans="5:18" x14ac:dyDescent="0.3">
      <c r="E230" s="195" t="str">
        <f>IF(Dades!C820="","",Dades!C820)</f>
        <v/>
      </c>
      <c r="F230" s="397">
        <f>(DSUM('1_Combustibles fósiles'!$E$17:$N$39,"emisiones",'6.2_Resultados España'!E$71:E230)/1000)-SUM(F$72:F229)</f>
        <v>0</v>
      </c>
      <c r="G230" s="397">
        <f>(DSUM('2_Fluorados'!$E$11:$P$33,"emisiones",'6.2_Resultados España'!E$71:E230)/1000)-SUM(G$72:G229)</f>
        <v>0</v>
      </c>
      <c r="H230" s="503">
        <f>(DSUM('3_Emisiones proceso'!$E$13:$L$35,"emisiones",'6.2_Resultados España'!E$71:E230)/1000)-SUM(H$72:H229)</f>
        <v>0</v>
      </c>
      <c r="I230" s="503"/>
      <c r="J230" s="504">
        <f t="shared" si="6"/>
        <v>0</v>
      </c>
      <c r="K230" s="504"/>
      <c r="L230" s="504"/>
      <c r="M230" s="504"/>
      <c r="N230" s="503">
        <f>(DSUM('4.2_Electricidad España'!$E$19:$J$41,"emisiones",'6.2_Resultados España'!E$71:E230)/1000)-SUM(N$72:N229)</f>
        <v>0</v>
      </c>
      <c r="O230" s="503"/>
      <c r="P230" s="504">
        <f t="shared" si="7"/>
        <v>0</v>
      </c>
      <c r="Q230" s="504"/>
      <c r="R230" s="504"/>
    </row>
    <row r="231" spans="5:18" x14ac:dyDescent="0.3">
      <c r="E231" s="195" t="str">
        <f>IF(Dades!C821="","",Dades!C821)</f>
        <v/>
      </c>
      <c r="F231" s="397">
        <f>(DSUM('1_Combustibles fósiles'!$E$17:$N$39,"emisiones",'6.2_Resultados España'!E$71:E231)/1000)-SUM(F$72:F230)</f>
        <v>0</v>
      </c>
      <c r="G231" s="397">
        <f>(DSUM('2_Fluorados'!$E$11:$P$33,"emisiones",'6.2_Resultados España'!E$71:E231)/1000)-SUM(G$72:G230)</f>
        <v>0</v>
      </c>
      <c r="H231" s="503">
        <f>(DSUM('3_Emisiones proceso'!$E$13:$L$35,"emisiones",'6.2_Resultados España'!E$71:E231)/1000)-SUM(H$72:H230)</f>
        <v>0</v>
      </c>
      <c r="I231" s="503"/>
      <c r="J231" s="504">
        <f t="shared" si="6"/>
        <v>0</v>
      </c>
      <c r="K231" s="504"/>
      <c r="L231" s="504"/>
      <c r="M231" s="504"/>
      <c r="N231" s="503">
        <f>(DSUM('4.2_Electricidad España'!$E$19:$J$41,"emisiones",'6.2_Resultados España'!E$71:E231)/1000)-SUM(N$72:N230)</f>
        <v>0</v>
      </c>
      <c r="O231" s="503"/>
      <c r="P231" s="504">
        <f t="shared" si="7"/>
        <v>0</v>
      </c>
      <c r="Q231" s="504"/>
      <c r="R231" s="504"/>
    </row>
    <row r="232" spans="5:18" x14ac:dyDescent="0.3">
      <c r="E232" s="195" t="str">
        <f>IF(Dades!C822="","",Dades!C822)</f>
        <v/>
      </c>
      <c r="F232" s="397">
        <f>(DSUM('1_Combustibles fósiles'!$E$17:$N$39,"emisiones",'6.2_Resultados España'!E$71:E232)/1000)-SUM(F$72:F231)</f>
        <v>0</v>
      </c>
      <c r="G232" s="397">
        <f>(DSUM('2_Fluorados'!$E$11:$P$33,"emisiones",'6.2_Resultados España'!E$71:E232)/1000)-SUM(G$72:G231)</f>
        <v>0</v>
      </c>
      <c r="H232" s="503">
        <f>(DSUM('3_Emisiones proceso'!$E$13:$L$35,"emisiones",'6.2_Resultados España'!E$71:E232)/1000)-SUM(H$72:H231)</f>
        <v>0</v>
      </c>
      <c r="I232" s="503"/>
      <c r="J232" s="504">
        <f t="shared" si="6"/>
        <v>0</v>
      </c>
      <c r="K232" s="504"/>
      <c r="L232" s="504"/>
      <c r="M232" s="504"/>
      <c r="N232" s="503">
        <f>(DSUM('4.2_Electricidad España'!$E$19:$J$41,"emisiones",'6.2_Resultados España'!E$71:E232)/1000)-SUM(N$72:N231)</f>
        <v>0</v>
      </c>
      <c r="O232" s="503"/>
      <c r="P232" s="504">
        <f t="shared" si="7"/>
        <v>0</v>
      </c>
      <c r="Q232" s="504"/>
      <c r="R232" s="504"/>
    </row>
    <row r="233" spans="5:18" x14ac:dyDescent="0.3">
      <c r="E233" s="195" t="str">
        <f>IF(Dades!C823="","",Dades!C823)</f>
        <v/>
      </c>
      <c r="F233" s="397">
        <f>(DSUM('1_Combustibles fósiles'!$E$17:$N$39,"emisiones",'6.2_Resultados España'!E$71:E233)/1000)-SUM(F$72:F232)</f>
        <v>0</v>
      </c>
      <c r="G233" s="397">
        <f>(DSUM('2_Fluorados'!$E$11:$P$33,"emisiones",'6.2_Resultados España'!E$71:E233)/1000)-SUM(G$72:G232)</f>
        <v>0</v>
      </c>
      <c r="H233" s="503">
        <f>(DSUM('3_Emisiones proceso'!$E$13:$L$35,"emisiones",'6.2_Resultados España'!E$71:E233)/1000)-SUM(H$72:H232)</f>
        <v>0</v>
      </c>
      <c r="I233" s="503"/>
      <c r="J233" s="504">
        <f t="shared" si="6"/>
        <v>0</v>
      </c>
      <c r="K233" s="504"/>
      <c r="L233" s="504"/>
      <c r="M233" s="504"/>
      <c r="N233" s="503">
        <f>(DSUM('4.2_Electricidad España'!$E$19:$J$41,"emisiones",'6.2_Resultados España'!E$71:E233)/1000)-SUM(N$72:N232)</f>
        <v>0</v>
      </c>
      <c r="O233" s="503"/>
      <c r="P233" s="504">
        <f t="shared" si="7"/>
        <v>0</v>
      </c>
      <c r="Q233" s="504"/>
      <c r="R233" s="504"/>
    </row>
    <row r="234" spans="5:18" x14ac:dyDescent="0.3">
      <c r="E234" s="195" t="str">
        <f>IF(Dades!C824="","",Dades!C824)</f>
        <v/>
      </c>
      <c r="F234" s="397">
        <f>(DSUM('1_Combustibles fósiles'!$E$17:$N$39,"emisiones",'6.2_Resultados España'!E$71:E234)/1000)-SUM(F$72:F233)</f>
        <v>0</v>
      </c>
      <c r="G234" s="397">
        <f>(DSUM('2_Fluorados'!$E$11:$P$33,"emisiones",'6.2_Resultados España'!E$71:E234)/1000)-SUM(G$72:G233)</f>
        <v>0</v>
      </c>
      <c r="H234" s="503">
        <f>(DSUM('3_Emisiones proceso'!$E$13:$L$35,"emisiones",'6.2_Resultados España'!E$71:E234)/1000)-SUM(H$72:H233)</f>
        <v>0</v>
      </c>
      <c r="I234" s="503"/>
      <c r="J234" s="504">
        <f t="shared" si="6"/>
        <v>0</v>
      </c>
      <c r="K234" s="504"/>
      <c r="L234" s="504"/>
      <c r="M234" s="504"/>
      <c r="N234" s="503">
        <f>(DSUM('4.2_Electricidad España'!$E$19:$J$41,"emisiones",'6.2_Resultados España'!E$71:E234)/1000)-SUM(N$72:N233)</f>
        <v>0</v>
      </c>
      <c r="O234" s="503"/>
      <c r="P234" s="504">
        <f t="shared" si="7"/>
        <v>0</v>
      </c>
      <c r="Q234" s="504"/>
      <c r="R234" s="504"/>
    </row>
    <row r="235" spans="5:18" x14ac:dyDescent="0.3">
      <c r="E235" s="195" t="str">
        <f>IF(Dades!C825="","",Dades!C825)</f>
        <v/>
      </c>
      <c r="F235" s="397">
        <f>(DSUM('1_Combustibles fósiles'!$E$17:$N$39,"emisiones",'6.2_Resultados España'!E$71:E235)/1000)-SUM(F$72:F234)</f>
        <v>0</v>
      </c>
      <c r="G235" s="397">
        <f>(DSUM('2_Fluorados'!$E$11:$P$33,"emisiones",'6.2_Resultados España'!E$71:E235)/1000)-SUM(G$72:G234)</f>
        <v>0</v>
      </c>
      <c r="H235" s="503">
        <f>(DSUM('3_Emisiones proceso'!$E$13:$L$35,"emisiones",'6.2_Resultados España'!E$71:E235)/1000)-SUM(H$72:H234)</f>
        <v>0</v>
      </c>
      <c r="I235" s="503"/>
      <c r="J235" s="504">
        <f t="shared" si="6"/>
        <v>0</v>
      </c>
      <c r="K235" s="504"/>
      <c r="L235" s="504"/>
      <c r="M235" s="504"/>
      <c r="N235" s="503">
        <f>(DSUM('4.2_Electricidad España'!$E$19:$J$41,"emisiones",'6.2_Resultados España'!E$71:E235)/1000)-SUM(N$72:N234)</f>
        <v>0</v>
      </c>
      <c r="O235" s="503"/>
      <c r="P235" s="504">
        <f t="shared" si="7"/>
        <v>0</v>
      </c>
      <c r="Q235" s="504"/>
      <c r="R235" s="504"/>
    </row>
    <row r="236" spans="5:18" x14ac:dyDescent="0.3">
      <c r="E236" s="195" t="str">
        <f>IF(Dades!C826="","",Dades!C826)</f>
        <v/>
      </c>
      <c r="F236" s="397">
        <f>(DSUM('1_Combustibles fósiles'!$E$17:$N$39,"emisiones",'6.2_Resultados España'!E$71:E236)/1000)-SUM(F$72:F235)</f>
        <v>0</v>
      </c>
      <c r="G236" s="397">
        <f>(DSUM('2_Fluorados'!$E$11:$P$33,"emisiones",'6.2_Resultados España'!E$71:E236)/1000)-SUM(G$72:G235)</f>
        <v>0</v>
      </c>
      <c r="H236" s="503">
        <f>(DSUM('3_Emisiones proceso'!$E$13:$L$35,"emisiones",'6.2_Resultados España'!E$71:E236)/1000)-SUM(H$72:H235)</f>
        <v>0</v>
      </c>
      <c r="I236" s="503"/>
      <c r="J236" s="504">
        <f t="shared" si="6"/>
        <v>0</v>
      </c>
      <c r="K236" s="504"/>
      <c r="L236" s="504"/>
      <c r="M236" s="504"/>
      <c r="N236" s="503">
        <f>(DSUM('4.2_Electricidad España'!$E$19:$J$41,"emisiones",'6.2_Resultados España'!E$71:E236)/1000)-SUM(N$72:N235)</f>
        <v>0</v>
      </c>
      <c r="O236" s="503"/>
      <c r="P236" s="504">
        <f t="shared" si="7"/>
        <v>0</v>
      </c>
      <c r="Q236" s="504"/>
      <c r="R236" s="504"/>
    </row>
    <row r="237" spans="5:18" x14ac:dyDescent="0.3">
      <c r="E237" s="195" t="str">
        <f>IF(Dades!C827="","",Dades!C827)</f>
        <v/>
      </c>
      <c r="F237" s="397">
        <f>(DSUM('1_Combustibles fósiles'!$E$17:$N$39,"emisiones",'6.2_Resultados España'!E$71:E237)/1000)-SUM(F$72:F236)</f>
        <v>0</v>
      </c>
      <c r="G237" s="397">
        <f>(DSUM('2_Fluorados'!$E$11:$P$33,"emisiones",'6.2_Resultados España'!E$71:E237)/1000)-SUM(G$72:G236)</f>
        <v>0</v>
      </c>
      <c r="H237" s="503">
        <f>(DSUM('3_Emisiones proceso'!$E$13:$L$35,"emisiones",'6.2_Resultados España'!E$71:E237)/1000)-SUM(H$72:H236)</f>
        <v>0</v>
      </c>
      <c r="I237" s="503"/>
      <c r="J237" s="504">
        <f t="shared" si="6"/>
        <v>0</v>
      </c>
      <c r="K237" s="504"/>
      <c r="L237" s="504"/>
      <c r="M237" s="504"/>
      <c r="N237" s="503">
        <f>(DSUM('4.2_Electricidad España'!$E$19:$J$41,"emisiones",'6.2_Resultados España'!E$71:E237)/1000)-SUM(N$72:N236)</f>
        <v>0</v>
      </c>
      <c r="O237" s="503"/>
      <c r="P237" s="504">
        <f t="shared" si="7"/>
        <v>0</v>
      </c>
      <c r="Q237" s="504"/>
      <c r="R237" s="504"/>
    </row>
    <row r="238" spans="5:18" x14ac:dyDescent="0.3">
      <c r="E238" s="195" t="str">
        <f>IF(Dades!C828="","",Dades!C828)</f>
        <v/>
      </c>
      <c r="F238" s="397">
        <f>(DSUM('1_Combustibles fósiles'!$E$17:$N$39,"emisiones",'6.2_Resultados España'!E$71:E238)/1000)-SUM(F$72:F237)</f>
        <v>0</v>
      </c>
      <c r="G238" s="397">
        <f>(DSUM('2_Fluorados'!$E$11:$P$33,"emisiones",'6.2_Resultados España'!E$71:E238)/1000)-SUM(G$72:G237)</f>
        <v>0</v>
      </c>
      <c r="H238" s="503">
        <f>(DSUM('3_Emisiones proceso'!$E$13:$L$35,"emisiones",'6.2_Resultados España'!E$71:E238)/1000)-SUM(H$72:H237)</f>
        <v>0</v>
      </c>
      <c r="I238" s="503"/>
      <c r="J238" s="504">
        <f t="shared" si="6"/>
        <v>0</v>
      </c>
      <c r="K238" s="504"/>
      <c r="L238" s="504"/>
      <c r="M238" s="504"/>
      <c r="N238" s="503">
        <f>(DSUM('4.2_Electricidad España'!$E$19:$J$41,"emisiones",'6.2_Resultados España'!E$71:E238)/1000)-SUM(N$72:N237)</f>
        <v>0</v>
      </c>
      <c r="O238" s="503"/>
      <c r="P238" s="504">
        <f t="shared" si="7"/>
        <v>0</v>
      </c>
      <c r="Q238" s="504"/>
      <c r="R238" s="504"/>
    </row>
    <row r="239" spans="5:18" x14ac:dyDescent="0.3">
      <c r="E239" s="195" t="str">
        <f>IF(Dades!C829="","",Dades!C829)</f>
        <v/>
      </c>
      <c r="F239" s="397">
        <f>(DSUM('1_Combustibles fósiles'!$E$17:$N$39,"emisiones",'6.2_Resultados España'!E$71:E239)/1000)-SUM(F$72:F238)</f>
        <v>0</v>
      </c>
      <c r="G239" s="397">
        <f>(DSUM('2_Fluorados'!$E$11:$P$33,"emisiones",'6.2_Resultados España'!E$71:E239)/1000)-SUM(G$72:G238)</f>
        <v>0</v>
      </c>
      <c r="H239" s="503">
        <f>(DSUM('3_Emisiones proceso'!$E$13:$L$35,"emisiones",'6.2_Resultados España'!E$71:E239)/1000)-SUM(H$72:H238)</f>
        <v>0</v>
      </c>
      <c r="I239" s="503"/>
      <c r="J239" s="504">
        <f t="shared" si="6"/>
        <v>0</v>
      </c>
      <c r="K239" s="504"/>
      <c r="L239" s="504"/>
      <c r="M239" s="504"/>
      <c r="N239" s="503">
        <f>(DSUM('4.2_Electricidad España'!$E$19:$J$41,"emisiones",'6.2_Resultados España'!E$71:E239)/1000)-SUM(N$72:N238)</f>
        <v>0</v>
      </c>
      <c r="O239" s="503"/>
      <c r="P239" s="504">
        <f t="shared" si="7"/>
        <v>0</v>
      </c>
      <c r="Q239" s="504"/>
      <c r="R239" s="504"/>
    </row>
    <row r="240" spans="5:18" x14ac:dyDescent="0.3">
      <c r="E240" s="195" t="str">
        <f>IF(Dades!C830="","",Dades!C830)</f>
        <v/>
      </c>
      <c r="F240" s="397">
        <f>(DSUM('1_Combustibles fósiles'!$E$17:$N$39,"emisiones",'6.2_Resultados España'!E$71:E240)/1000)-SUM(F$72:F239)</f>
        <v>0</v>
      </c>
      <c r="G240" s="397">
        <f>(DSUM('2_Fluorados'!$E$11:$P$33,"emisiones",'6.2_Resultados España'!E$71:E240)/1000)-SUM(G$72:G239)</f>
        <v>0</v>
      </c>
      <c r="H240" s="503">
        <f>(DSUM('3_Emisiones proceso'!$E$13:$L$35,"emisiones",'6.2_Resultados España'!E$71:E240)/1000)-SUM(H$72:H239)</f>
        <v>0</v>
      </c>
      <c r="I240" s="503"/>
      <c r="J240" s="504">
        <f t="shared" si="6"/>
        <v>0</v>
      </c>
      <c r="K240" s="504"/>
      <c r="L240" s="504"/>
      <c r="M240" s="504"/>
      <c r="N240" s="503">
        <f>(DSUM('4.2_Electricidad España'!$E$19:$J$41,"emisiones",'6.2_Resultados España'!E$71:E240)/1000)-SUM(N$72:N239)</f>
        <v>0</v>
      </c>
      <c r="O240" s="503"/>
      <c r="P240" s="504">
        <f t="shared" si="7"/>
        <v>0</v>
      </c>
      <c r="Q240" s="504"/>
      <c r="R240" s="504"/>
    </row>
    <row r="241" spans="5:18" x14ac:dyDescent="0.3">
      <c r="E241" s="195" t="str">
        <f>IF(Dades!C831="","",Dades!C831)</f>
        <v/>
      </c>
      <c r="F241" s="397">
        <f>(DSUM('1_Combustibles fósiles'!$E$17:$N$39,"emisiones",'6.2_Resultados España'!E$71:E241)/1000)-SUM(F$72:F240)</f>
        <v>0</v>
      </c>
      <c r="G241" s="397">
        <f>(DSUM('2_Fluorados'!$E$11:$P$33,"emisiones",'6.2_Resultados España'!E$71:E241)/1000)-SUM(G$72:G240)</f>
        <v>0</v>
      </c>
      <c r="H241" s="503">
        <f>(DSUM('3_Emisiones proceso'!$E$13:$L$35,"emisiones",'6.2_Resultados España'!E$71:E241)/1000)-SUM(H$72:H240)</f>
        <v>0</v>
      </c>
      <c r="I241" s="503"/>
      <c r="J241" s="504">
        <f t="shared" si="6"/>
        <v>0</v>
      </c>
      <c r="K241" s="504"/>
      <c r="L241" s="504"/>
      <c r="M241" s="504"/>
      <c r="N241" s="503">
        <f>(DSUM('4.2_Electricidad España'!$E$19:$J$41,"emisiones",'6.2_Resultados España'!E$71:E241)/1000)-SUM(N$72:N240)</f>
        <v>0</v>
      </c>
      <c r="O241" s="503"/>
      <c r="P241" s="504">
        <f t="shared" si="7"/>
        <v>0</v>
      </c>
      <c r="Q241" s="504"/>
      <c r="R241" s="504"/>
    </row>
    <row r="242" spans="5:18" x14ac:dyDescent="0.3">
      <c r="E242" s="195" t="str">
        <f>IF(Dades!C832="","",Dades!C832)</f>
        <v/>
      </c>
      <c r="F242" s="397">
        <f>(DSUM('1_Combustibles fósiles'!$E$17:$N$39,"emisiones",'6.2_Resultados España'!E$71:E242)/1000)-SUM(F$72:F241)</f>
        <v>0</v>
      </c>
      <c r="G242" s="397">
        <f>(DSUM('2_Fluorados'!$E$11:$P$33,"emisiones",'6.2_Resultados España'!E$71:E242)/1000)-SUM(G$72:G241)</f>
        <v>0</v>
      </c>
      <c r="H242" s="503">
        <f>(DSUM('3_Emisiones proceso'!$E$13:$L$35,"emisiones",'6.2_Resultados España'!E$71:E242)/1000)-SUM(H$72:H241)</f>
        <v>0</v>
      </c>
      <c r="I242" s="503"/>
      <c r="J242" s="504">
        <f t="shared" si="6"/>
        <v>0</v>
      </c>
      <c r="K242" s="504"/>
      <c r="L242" s="504"/>
      <c r="M242" s="504"/>
      <c r="N242" s="503">
        <f>(DSUM('4.2_Electricidad España'!$E$19:$J$41,"emisiones",'6.2_Resultados España'!E$71:E242)/1000)-SUM(N$72:N241)</f>
        <v>0</v>
      </c>
      <c r="O242" s="503"/>
      <c r="P242" s="504">
        <f t="shared" si="7"/>
        <v>0</v>
      </c>
      <c r="Q242" s="504"/>
      <c r="R242" s="504"/>
    </row>
    <row r="243" spans="5:18" x14ac:dyDescent="0.3">
      <c r="E243" s="195" t="str">
        <f>IF(Dades!C833="","",Dades!C833)</f>
        <v/>
      </c>
      <c r="F243" s="397">
        <f>(DSUM('1_Combustibles fósiles'!$E$17:$N$39,"emisiones",'6.2_Resultados España'!E$71:E243)/1000)-SUM(F$72:F242)</f>
        <v>0</v>
      </c>
      <c r="G243" s="397">
        <f>(DSUM('2_Fluorados'!$E$11:$P$33,"emisiones",'6.2_Resultados España'!E$71:E243)/1000)-SUM(G$72:G242)</f>
        <v>0</v>
      </c>
      <c r="H243" s="503">
        <f>(DSUM('3_Emisiones proceso'!$E$13:$L$35,"emisiones",'6.2_Resultados España'!E$71:E243)/1000)-SUM(H$72:H242)</f>
        <v>0</v>
      </c>
      <c r="I243" s="503"/>
      <c r="J243" s="504">
        <f t="shared" si="6"/>
        <v>0</v>
      </c>
      <c r="K243" s="504"/>
      <c r="L243" s="504"/>
      <c r="M243" s="504"/>
      <c r="N243" s="503">
        <f>(DSUM('4.2_Electricidad España'!$E$19:$J$41,"emisiones",'6.2_Resultados España'!E$71:E243)/1000)-SUM(N$72:N242)</f>
        <v>0</v>
      </c>
      <c r="O243" s="503"/>
      <c r="P243" s="504">
        <f t="shared" si="7"/>
        <v>0</v>
      </c>
      <c r="Q243" s="504"/>
      <c r="R243" s="504"/>
    </row>
    <row r="244" spans="5:18" x14ac:dyDescent="0.3">
      <c r="E244" s="195" t="str">
        <f>IF(Dades!C834="","",Dades!C834)</f>
        <v/>
      </c>
      <c r="F244" s="397">
        <f>(DSUM('1_Combustibles fósiles'!$E$17:$N$39,"emisiones",'6.2_Resultados España'!E$71:E244)/1000)-SUM(F$72:F243)</f>
        <v>0</v>
      </c>
      <c r="G244" s="397">
        <f>(DSUM('2_Fluorados'!$E$11:$P$33,"emisiones",'6.2_Resultados España'!E$71:E244)/1000)-SUM(G$72:G243)</f>
        <v>0</v>
      </c>
      <c r="H244" s="503">
        <f>(DSUM('3_Emisiones proceso'!$E$13:$L$35,"emisiones",'6.2_Resultados España'!E$71:E244)/1000)-SUM(H$72:H243)</f>
        <v>0</v>
      </c>
      <c r="I244" s="503"/>
      <c r="J244" s="504">
        <f t="shared" si="6"/>
        <v>0</v>
      </c>
      <c r="K244" s="504"/>
      <c r="L244" s="504"/>
      <c r="M244" s="504"/>
      <c r="N244" s="503">
        <f>(DSUM('4.2_Electricidad España'!$E$19:$J$41,"emisiones",'6.2_Resultados España'!E$71:E244)/1000)-SUM(N$72:N243)</f>
        <v>0</v>
      </c>
      <c r="O244" s="503"/>
      <c r="P244" s="504">
        <f t="shared" si="7"/>
        <v>0</v>
      </c>
      <c r="Q244" s="504"/>
      <c r="R244" s="504"/>
    </row>
    <row r="245" spans="5:18" x14ac:dyDescent="0.3">
      <c r="E245" s="195" t="str">
        <f>IF(Dades!C835="","",Dades!C835)</f>
        <v/>
      </c>
      <c r="F245" s="397">
        <f>(DSUM('1_Combustibles fósiles'!$E$17:$N$39,"emisiones",'6.2_Resultados España'!E$71:E245)/1000)-SUM(F$72:F244)</f>
        <v>0</v>
      </c>
      <c r="G245" s="397">
        <f>(DSUM('2_Fluorados'!$E$11:$P$33,"emisiones",'6.2_Resultados España'!E$71:E245)/1000)-SUM(G$72:G244)</f>
        <v>0</v>
      </c>
      <c r="H245" s="503">
        <f>(DSUM('3_Emisiones proceso'!$E$13:$L$35,"emisiones",'6.2_Resultados España'!E$71:E245)/1000)-SUM(H$72:H244)</f>
        <v>0</v>
      </c>
      <c r="I245" s="503"/>
      <c r="J245" s="504">
        <f t="shared" si="6"/>
        <v>0</v>
      </c>
      <c r="K245" s="504"/>
      <c r="L245" s="504"/>
      <c r="M245" s="504"/>
      <c r="N245" s="503">
        <f>(DSUM('4.2_Electricidad España'!$E$19:$J$41,"emisiones",'6.2_Resultados España'!E$71:E245)/1000)-SUM(N$72:N244)</f>
        <v>0</v>
      </c>
      <c r="O245" s="503"/>
      <c r="P245" s="504">
        <f t="shared" si="7"/>
        <v>0</v>
      </c>
      <c r="Q245" s="504"/>
      <c r="R245" s="504"/>
    </row>
    <row r="246" spans="5:18" x14ac:dyDescent="0.3">
      <c r="E246" s="195" t="str">
        <f>IF(Dades!C836="","",Dades!C836)</f>
        <v/>
      </c>
      <c r="F246" s="397">
        <f>(DSUM('1_Combustibles fósiles'!$E$17:$N$39,"emisiones",'6.2_Resultados España'!E$71:E246)/1000)-SUM(F$72:F245)</f>
        <v>0</v>
      </c>
      <c r="G246" s="397">
        <f>(DSUM('2_Fluorados'!$E$11:$P$33,"emisiones",'6.2_Resultados España'!E$71:E246)/1000)-SUM(G$72:G245)</f>
        <v>0</v>
      </c>
      <c r="H246" s="503">
        <f>(DSUM('3_Emisiones proceso'!$E$13:$L$35,"emisiones",'6.2_Resultados España'!E$71:E246)/1000)-SUM(H$72:H245)</f>
        <v>0</v>
      </c>
      <c r="I246" s="503"/>
      <c r="J246" s="504">
        <f t="shared" si="6"/>
        <v>0</v>
      </c>
      <c r="K246" s="504"/>
      <c r="L246" s="504"/>
      <c r="M246" s="504"/>
      <c r="N246" s="503">
        <f>(DSUM('4.2_Electricidad España'!$E$19:$J$41,"emisiones",'6.2_Resultados España'!E$71:E246)/1000)-SUM(N$72:N245)</f>
        <v>0</v>
      </c>
      <c r="O246" s="503"/>
      <c r="P246" s="504">
        <f t="shared" si="7"/>
        <v>0</v>
      </c>
      <c r="Q246" s="504"/>
      <c r="R246" s="504"/>
    </row>
    <row r="247" spans="5:18" x14ac:dyDescent="0.3">
      <c r="E247" s="195" t="str">
        <f>IF(Dades!C837="","",Dades!C837)</f>
        <v/>
      </c>
      <c r="F247" s="397">
        <f>(DSUM('1_Combustibles fósiles'!$E$17:$N$39,"emisiones",'6.2_Resultados España'!E$71:E247)/1000)-SUM(F$72:F246)</f>
        <v>0</v>
      </c>
      <c r="G247" s="397">
        <f>(DSUM('2_Fluorados'!$E$11:$P$33,"emisiones",'6.2_Resultados España'!E$71:E247)/1000)-SUM(G$72:G246)</f>
        <v>0</v>
      </c>
      <c r="H247" s="503">
        <f>(DSUM('3_Emisiones proceso'!$E$13:$L$35,"emisiones",'6.2_Resultados España'!E$71:E247)/1000)-SUM(H$72:H246)</f>
        <v>0</v>
      </c>
      <c r="I247" s="503"/>
      <c r="J247" s="504">
        <f t="shared" si="6"/>
        <v>0</v>
      </c>
      <c r="K247" s="504"/>
      <c r="L247" s="504"/>
      <c r="M247" s="504"/>
      <c r="N247" s="503">
        <f>(DSUM('4.2_Electricidad España'!$E$19:$J$41,"emisiones",'6.2_Resultados España'!E$71:E247)/1000)-SUM(N$72:N246)</f>
        <v>0</v>
      </c>
      <c r="O247" s="503"/>
      <c r="P247" s="504">
        <f t="shared" si="7"/>
        <v>0</v>
      </c>
      <c r="Q247" s="504"/>
      <c r="R247" s="504"/>
    </row>
    <row r="248" spans="5:18" x14ac:dyDescent="0.3">
      <c r="E248" s="195" t="str">
        <f>IF(Dades!C838="","",Dades!C838)</f>
        <v/>
      </c>
      <c r="F248" s="397">
        <f>(DSUM('1_Combustibles fósiles'!$E$17:$N$39,"emisiones",'6.2_Resultados España'!E$71:E248)/1000)-SUM(F$72:F247)</f>
        <v>0</v>
      </c>
      <c r="G248" s="397">
        <f>(DSUM('2_Fluorados'!$E$11:$P$33,"emisiones",'6.2_Resultados España'!E$71:E248)/1000)-SUM(G$72:G247)</f>
        <v>0</v>
      </c>
      <c r="H248" s="503">
        <f>(DSUM('3_Emisiones proceso'!$E$13:$L$35,"emisiones",'6.2_Resultados España'!E$71:E248)/1000)-SUM(H$72:H247)</f>
        <v>0</v>
      </c>
      <c r="I248" s="503"/>
      <c r="J248" s="504">
        <f t="shared" si="6"/>
        <v>0</v>
      </c>
      <c r="K248" s="504"/>
      <c r="L248" s="504"/>
      <c r="M248" s="504"/>
      <c r="N248" s="503">
        <f>(DSUM('4.2_Electricidad España'!$E$19:$J$41,"emisiones",'6.2_Resultados España'!E$71:E248)/1000)-SUM(N$72:N247)</f>
        <v>0</v>
      </c>
      <c r="O248" s="503"/>
      <c r="P248" s="504">
        <f t="shared" si="7"/>
        <v>0</v>
      </c>
      <c r="Q248" s="504"/>
      <c r="R248" s="504"/>
    </row>
    <row r="249" spans="5:18" x14ac:dyDescent="0.3">
      <c r="E249" s="195" t="str">
        <f>IF(Dades!C839="","",Dades!C839)</f>
        <v/>
      </c>
      <c r="F249" s="397">
        <f>(DSUM('1_Combustibles fósiles'!$E$17:$N$39,"emisiones",'6.2_Resultados España'!E$71:E249)/1000)-SUM(F$72:F248)</f>
        <v>0</v>
      </c>
      <c r="G249" s="397">
        <f>(DSUM('2_Fluorados'!$E$11:$P$33,"emisiones",'6.2_Resultados España'!E$71:E249)/1000)-SUM(G$72:G248)</f>
        <v>0</v>
      </c>
      <c r="H249" s="503">
        <f>(DSUM('3_Emisiones proceso'!$E$13:$L$35,"emisiones",'6.2_Resultados España'!E$71:E249)/1000)-SUM(H$72:H248)</f>
        <v>0</v>
      </c>
      <c r="I249" s="503"/>
      <c r="J249" s="504">
        <f t="shared" si="6"/>
        <v>0</v>
      </c>
      <c r="K249" s="504"/>
      <c r="L249" s="504"/>
      <c r="M249" s="504"/>
      <c r="N249" s="503">
        <f>(DSUM('4.2_Electricidad España'!$E$19:$J$41,"emisiones",'6.2_Resultados España'!E$71:E249)/1000)-SUM(N$72:N248)</f>
        <v>0</v>
      </c>
      <c r="O249" s="503"/>
      <c r="P249" s="504">
        <f t="shared" si="7"/>
        <v>0</v>
      </c>
      <c r="Q249" s="504"/>
      <c r="R249" s="504"/>
    </row>
    <row r="250" spans="5:18" x14ac:dyDescent="0.3">
      <c r="E250" s="195" t="str">
        <f>IF(Dades!C840="","",Dades!C840)</f>
        <v/>
      </c>
      <c r="F250" s="397">
        <f>(DSUM('1_Combustibles fósiles'!$E$17:$N$39,"emisiones",'6.2_Resultados España'!E$71:E250)/1000)-SUM(F$72:F249)</f>
        <v>0</v>
      </c>
      <c r="G250" s="397">
        <f>(DSUM('2_Fluorados'!$E$11:$P$33,"emisiones",'6.2_Resultados España'!E$71:E250)/1000)-SUM(G$72:G249)</f>
        <v>0</v>
      </c>
      <c r="H250" s="503">
        <f>(DSUM('3_Emisiones proceso'!$E$13:$L$35,"emisiones",'6.2_Resultados España'!E$71:E250)/1000)-SUM(H$72:H249)</f>
        <v>0</v>
      </c>
      <c r="I250" s="503"/>
      <c r="J250" s="504">
        <f t="shared" si="6"/>
        <v>0</v>
      </c>
      <c r="K250" s="504"/>
      <c r="L250" s="504"/>
      <c r="M250" s="504"/>
      <c r="N250" s="503">
        <f>(DSUM('4.2_Electricidad España'!$E$19:$J$41,"emisiones",'6.2_Resultados España'!E$71:E250)/1000)-SUM(N$72:N249)</f>
        <v>0</v>
      </c>
      <c r="O250" s="503"/>
      <c r="P250" s="504">
        <f t="shared" si="7"/>
        <v>0</v>
      </c>
      <c r="Q250" s="504"/>
      <c r="R250" s="504"/>
    </row>
    <row r="251" spans="5:18" x14ac:dyDescent="0.3">
      <c r="E251" s="195" t="str">
        <f>IF(Dades!C841="","",Dades!C841)</f>
        <v/>
      </c>
      <c r="F251" s="397">
        <f>(DSUM('1_Combustibles fósiles'!$E$17:$N$39,"emisiones",'6.2_Resultados España'!E$71:E251)/1000)-SUM(F$72:F250)</f>
        <v>0</v>
      </c>
      <c r="G251" s="397">
        <f>(DSUM('2_Fluorados'!$E$11:$P$33,"emisiones",'6.2_Resultados España'!E$71:E251)/1000)-SUM(G$72:G250)</f>
        <v>0</v>
      </c>
      <c r="H251" s="503">
        <f>(DSUM('3_Emisiones proceso'!$E$13:$L$35,"emisiones",'6.2_Resultados España'!E$71:E251)/1000)-SUM(H$72:H250)</f>
        <v>0</v>
      </c>
      <c r="I251" s="503"/>
      <c r="J251" s="504">
        <f t="shared" si="6"/>
        <v>0</v>
      </c>
      <c r="K251" s="504"/>
      <c r="L251" s="504"/>
      <c r="M251" s="504"/>
      <c r="N251" s="503">
        <f>(DSUM('4.2_Electricidad España'!$E$19:$J$41,"emisiones",'6.2_Resultados España'!E$71:E251)/1000)-SUM(N$72:N250)</f>
        <v>0</v>
      </c>
      <c r="O251" s="503"/>
      <c r="P251" s="504">
        <f t="shared" si="7"/>
        <v>0</v>
      </c>
      <c r="Q251" s="504"/>
      <c r="R251" s="504"/>
    </row>
    <row r="252" spans="5:18" x14ac:dyDescent="0.3">
      <c r="E252" s="195" t="str">
        <f>IF(Dades!C842="","",Dades!C842)</f>
        <v/>
      </c>
      <c r="F252" s="397">
        <f>(DSUM('1_Combustibles fósiles'!$E$17:$N$39,"emisiones",'6.2_Resultados España'!E$71:E252)/1000)-SUM(F$72:F251)</f>
        <v>0</v>
      </c>
      <c r="G252" s="397">
        <f>(DSUM('2_Fluorados'!$E$11:$P$33,"emisiones",'6.2_Resultados España'!E$71:E252)/1000)-SUM(G$72:G251)</f>
        <v>0</v>
      </c>
      <c r="H252" s="503">
        <f>(DSUM('3_Emisiones proceso'!$E$13:$L$35,"emisiones",'6.2_Resultados España'!E$71:E252)/1000)-SUM(H$72:H251)</f>
        <v>0</v>
      </c>
      <c r="I252" s="503"/>
      <c r="J252" s="504">
        <f t="shared" si="6"/>
        <v>0</v>
      </c>
      <c r="K252" s="504"/>
      <c r="L252" s="504"/>
      <c r="M252" s="504"/>
      <c r="N252" s="503">
        <f>(DSUM('4.2_Electricidad España'!$E$19:$J$41,"emisiones",'6.2_Resultados España'!E$71:E252)/1000)-SUM(N$72:N251)</f>
        <v>0</v>
      </c>
      <c r="O252" s="503"/>
      <c r="P252" s="504">
        <f t="shared" si="7"/>
        <v>0</v>
      </c>
      <c r="Q252" s="504"/>
      <c r="R252" s="504"/>
    </row>
    <row r="253" spans="5:18" x14ac:dyDescent="0.3">
      <c r="E253" s="195" t="str">
        <f>IF(Dades!C843="","",Dades!C843)</f>
        <v/>
      </c>
      <c r="F253" s="397">
        <f>(DSUM('1_Combustibles fósiles'!$E$17:$N$39,"emisiones",'6.2_Resultados España'!E$71:E253)/1000)-SUM(F$72:F252)</f>
        <v>0</v>
      </c>
      <c r="G253" s="397">
        <f>(DSUM('2_Fluorados'!$E$11:$P$33,"emisiones",'6.2_Resultados España'!E$71:E253)/1000)-SUM(G$72:G252)</f>
        <v>0</v>
      </c>
      <c r="H253" s="503">
        <f>(DSUM('3_Emisiones proceso'!$E$13:$L$35,"emisiones",'6.2_Resultados España'!E$71:E253)/1000)-SUM(H$72:H252)</f>
        <v>0</v>
      </c>
      <c r="I253" s="503"/>
      <c r="J253" s="504">
        <f t="shared" si="6"/>
        <v>0</v>
      </c>
      <c r="K253" s="504"/>
      <c r="L253" s="504"/>
      <c r="M253" s="504"/>
      <c r="N253" s="503">
        <f>(DSUM('4.2_Electricidad España'!$E$19:$J$41,"emisiones",'6.2_Resultados España'!E$71:E253)/1000)-SUM(N$72:N252)</f>
        <v>0</v>
      </c>
      <c r="O253" s="503"/>
      <c r="P253" s="504">
        <f t="shared" si="7"/>
        <v>0</v>
      </c>
      <c r="Q253" s="504"/>
      <c r="R253" s="504"/>
    </row>
    <row r="254" spans="5:18" x14ac:dyDescent="0.3">
      <c r="E254" s="195" t="str">
        <f>IF(Dades!C844="","",Dades!C844)</f>
        <v/>
      </c>
      <c r="F254" s="397">
        <f>(DSUM('1_Combustibles fósiles'!$E$17:$N$39,"emisiones",'6.2_Resultados España'!E$71:E254)/1000)-SUM(F$72:F253)</f>
        <v>0</v>
      </c>
      <c r="G254" s="397">
        <f>(DSUM('2_Fluorados'!$E$11:$P$33,"emisiones",'6.2_Resultados España'!E$71:E254)/1000)-SUM(G$72:G253)</f>
        <v>0</v>
      </c>
      <c r="H254" s="503">
        <f>(DSUM('3_Emisiones proceso'!$E$13:$L$35,"emisiones",'6.2_Resultados España'!E$71:E254)/1000)-SUM(H$72:H253)</f>
        <v>0</v>
      </c>
      <c r="I254" s="503"/>
      <c r="J254" s="504">
        <f t="shared" si="6"/>
        <v>0</v>
      </c>
      <c r="K254" s="504"/>
      <c r="L254" s="504"/>
      <c r="M254" s="504"/>
      <c r="N254" s="503">
        <f>(DSUM('4.2_Electricidad España'!$E$19:$J$41,"emisiones",'6.2_Resultados España'!E$71:E254)/1000)-SUM(N$72:N253)</f>
        <v>0</v>
      </c>
      <c r="O254" s="503"/>
      <c r="P254" s="504">
        <f t="shared" si="7"/>
        <v>0</v>
      </c>
      <c r="Q254" s="504"/>
      <c r="R254" s="504"/>
    </row>
    <row r="255" spans="5:18" x14ac:dyDescent="0.3">
      <c r="E255" s="195" t="str">
        <f>IF(Dades!C845="","",Dades!C845)</f>
        <v/>
      </c>
      <c r="F255" s="397">
        <f>(DSUM('1_Combustibles fósiles'!$E$17:$N$39,"emisiones",'6.2_Resultados España'!E$71:E255)/1000)-SUM(F$72:F254)</f>
        <v>0</v>
      </c>
      <c r="G255" s="397">
        <f>(DSUM('2_Fluorados'!$E$11:$P$33,"emisiones",'6.2_Resultados España'!E$71:E255)/1000)-SUM(G$72:G254)</f>
        <v>0</v>
      </c>
      <c r="H255" s="503">
        <f>(DSUM('3_Emisiones proceso'!$E$13:$L$35,"emisiones",'6.2_Resultados España'!E$71:E255)/1000)-SUM(H$72:H254)</f>
        <v>0</v>
      </c>
      <c r="I255" s="503"/>
      <c r="J255" s="504">
        <f t="shared" si="6"/>
        <v>0</v>
      </c>
      <c r="K255" s="504"/>
      <c r="L255" s="504"/>
      <c r="M255" s="504"/>
      <c r="N255" s="503">
        <f>(DSUM('4.2_Electricidad España'!$E$19:$J$41,"emisiones",'6.2_Resultados España'!E$71:E255)/1000)-SUM(N$72:N254)</f>
        <v>0</v>
      </c>
      <c r="O255" s="503"/>
      <c r="P255" s="504">
        <f t="shared" si="7"/>
        <v>0</v>
      </c>
      <c r="Q255" s="504"/>
      <c r="R255" s="504"/>
    </row>
    <row r="256" spans="5:18" x14ac:dyDescent="0.3">
      <c r="E256" s="195" t="str">
        <f>IF(Dades!C846="","",Dades!C846)</f>
        <v/>
      </c>
      <c r="F256" s="397">
        <f>(DSUM('1_Combustibles fósiles'!$E$17:$N$39,"emisiones",'6.2_Resultados España'!E$71:E256)/1000)-SUM(F$72:F255)</f>
        <v>0</v>
      </c>
      <c r="G256" s="397">
        <f>(DSUM('2_Fluorados'!$E$11:$P$33,"emisiones",'6.2_Resultados España'!E$71:E256)/1000)-SUM(G$72:G255)</f>
        <v>0</v>
      </c>
      <c r="H256" s="503">
        <f>(DSUM('3_Emisiones proceso'!$E$13:$L$35,"emisiones",'6.2_Resultados España'!E$71:E256)/1000)-SUM(H$72:H255)</f>
        <v>0</v>
      </c>
      <c r="I256" s="503"/>
      <c r="J256" s="504">
        <f t="shared" si="6"/>
        <v>0</v>
      </c>
      <c r="K256" s="504"/>
      <c r="L256" s="504"/>
      <c r="M256" s="504"/>
      <c r="N256" s="503">
        <f>(DSUM('4.2_Electricidad España'!$E$19:$J$41,"emisiones",'6.2_Resultados España'!E$71:E256)/1000)-SUM(N$72:N255)</f>
        <v>0</v>
      </c>
      <c r="O256" s="503"/>
      <c r="P256" s="504">
        <f t="shared" si="7"/>
        <v>0</v>
      </c>
      <c r="Q256" s="504"/>
      <c r="R256" s="504"/>
    </row>
    <row r="257" spans="5:18" x14ac:dyDescent="0.3">
      <c r="E257" s="195" t="str">
        <f>IF(Dades!C847="","",Dades!C847)</f>
        <v/>
      </c>
      <c r="F257" s="397">
        <f>(DSUM('1_Combustibles fósiles'!$E$17:$N$39,"emisiones",'6.2_Resultados España'!E$71:E257)/1000)-SUM(F$72:F256)</f>
        <v>0</v>
      </c>
      <c r="G257" s="397">
        <f>(DSUM('2_Fluorados'!$E$11:$P$33,"emisiones",'6.2_Resultados España'!E$71:E257)/1000)-SUM(G$72:G256)</f>
        <v>0</v>
      </c>
      <c r="H257" s="503">
        <f>(DSUM('3_Emisiones proceso'!$E$13:$L$35,"emisiones",'6.2_Resultados España'!E$71:E257)/1000)-SUM(H$72:H256)</f>
        <v>0</v>
      </c>
      <c r="I257" s="503"/>
      <c r="J257" s="504">
        <f t="shared" si="6"/>
        <v>0</v>
      </c>
      <c r="K257" s="504"/>
      <c r="L257" s="504"/>
      <c r="M257" s="504"/>
      <c r="N257" s="503">
        <f>(DSUM('4.2_Electricidad España'!$E$19:$J$41,"emisiones",'6.2_Resultados España'!E$71:E257)/1000)-SUM(N$72:N256)</f>
        <v>0</v>
      </c>
      <c r="O257" s="503"/>
      <c r="P257" s="504">
        <f t="shared" si="7"/>
        <v>0</v>
      </c>
      <c r="Q257" s="504"/>
      <c r="R257" s="504"/>
    </row>
    <row r="258" spans="5:18" x14ac:dyDescent="0.3">
      <c r="E258" s="195" t="str">
        <f>IF(Dades!C848="","",Dades!C848)</f>
        <v/>
      </c>
      <c r="F258" s="397">
        <f>(DSUM('1_Combustibles fósiles'!$E$17:$N$39,"emisiones",'6.2_Resultados España'!E$71:E258)/1000)-SUM(F$72:F257)</f>
        <v>0</v>
      </c>
      <c r="G258" s="397">
        <f>(DSUM('2_Fluorados'!$E$11:$P$33,"emisiones",'6.2_Resultados España'!E$71:E258)/1000)-SUM(G$72:G257)</f>
        <v>0</v>
      </c>
      <c r="H258" s="503">
        <f>(DSUM('3_Emisiones proceso'!$E$13:$L$35,"emisiones",'6.2_Resultados España'!E$71:E258)/1000)-SUM(H$72:H257)</f>
        <v>0</v>
      </c>
      <c r="I258" s="503"/>
      <c r="J258" s="504">
        <f t="shared" si="6"/>
        <v>0</v>
      </c>
      <c r="K258" s="504"/>
      <c r="L258" s="504"/>
      <c r="M258" s="504"/>
      <c r="N258" s="503">
        <f>(DSUM('4.2_Electricidad España'!$E$19:$J$41,"emisiones",'6.2_Resultados España'!E$71:E258)/1000)-SUM(N$72:N257)</f>
        <v>0</v>
      </c>
      <c r="O258" s="503"/>
      <c r="P258" s="504">
        <f t="shared" si="7"/>
        <v>0</v>
      </c>
      <c r="Q258" s="504"/>
      <c r="R258" s="504"/>
    </row>
    <row r="259" spans="5:18" x14ac:dyDescent="0.3">
      <c r="E259" s="195" t="str">
        <f>IF(Dades!C849="","",Dades!C849)</f>
        <v/>
      </c>
      <c r="F259" s="397">
        <f>(DSUM('1_Combustibles fósiles'!$E$17:$N$39,"emisiones",'6.2_Resultados España'!E$71:E259)/1000)-SUM(F$72:F258)</f>
        <v>0</v>
      </c>
      <c r="G259" s="397">
        <f>(DSUM('2_Fluorados'!$E$11:$P$33,"emisiones",'6.2_Resultados España'!E$71:E259)/1000)-SUM(G$72:G258)</f>
        <v>0</v>
      </c>
      <c r="H259" s="503">
        <f>(DSUM('3_Emisiones proceso'!$E$13:$L$35,"emisiones",'6.2_Resultados España'!E$71:E259)/1000)-SUM(H$72:H258)</f>
        <v>0</v>
      </c>
      <c r="I259" s="503"/>
      <c r="J259" s="504">
        <f t="shared" si="6"/>
        <v>0</v>
      </c>
      <c r="K259" s="504"/>
      <c r="L259" s="504"/>
      <c r="M259" s="504"/>
      <c r="N259" s="503">
        <f>(DSUM('4.2_Electricidad España'!$E$19:$J$41,"emisiones",'6.2_Resultados España'!E$71:E259)/1000)-SUM(N$72:N258)</f>
        <v>0</v>
      </c>
      <c r="O259" s="503"/>
      <c r="P259" s="504">
        <f t="shared" si="7"/>
        <v>0</v>
      </c>
      <c r="Q259" s="504"/>
      <c r="R259" s="504"/>
    </row>
    <row r="260" spans="5:18" x14ac:dyDescent="0.3">
      <c r="E260" s="195" t="str">
        <f>IF(Dades!C850="","",Dades!C850)</f>
        <v/>
      </c>
      <c r="F260" s="397">
        <f>(DSUM('1_Combustibles fósiles'!$E$17:$N$39,"emisiones",'6.2_Resultados España'!E$71:E260)/1000)-SUM(F$72:F259)</f>
        <v>0</v>
      </c>
      <c r="G260" s="397">
        <f>(DSUM('2_Fluorados'!$E$11:$P$33,"emisiones",'6.2_Resultados España'!E$71:E260)/1000)-SUM(G$72:G259)</f>
        <v>0</v>
      </c>
      <c r="H260" s="503">
        <f>(DSUM('3_Emisiones proceso'!$E$13:$L$35,"emisiones",'6.2_Resultados España'!E$71:E260)/1000)-SUM(H$72:H259)</f>
        <v>0</v>
      </c>
      <c r="I260" s="503"/>
      <c r="J260" s="504">
        <f t="shared" si="6"/>
        <v>0</v>
      </c>
      <c r="K260" s="504"/>
      <c r="L260" s="504"/>
      <c r="M260" s="504"/>
      <c r="N260" s="503">
        <f>(DSUM('4.2_Electricidad España'!$E$19:$J$41,"emisiones",'6.2_Resultados España'!E$71:E260)/1000)-SUM(N$72:N259)</f>
        <v>0</v>
      </c>
      <c r="O260" s="503"/>
      <c r="P260" s="504">
        <f t="shared" si="7"/>
        <v>0</v>
      </c>
      <c r="Q260" s="504"/>
      <c r="R260" s="504"/>
    </row>
    <row r="261" spans="5:18" x14ac:dyDescent="0.3">
      <c r="E261" s="195" t="str">
        <f>IF(Dades!C851="","",Dades!C851)</f>
        <v/>
      </c>
      <c r="F261" s="397">
        <f>(DSUM('1_Combustibles fósiles'!$E$17:$N$39,"emisiones",'6.2_Resultados España'!E$71:E261)/1000)-SUM(F$72:F260)</f>
        <v>0</v>
      </c>
      <c r="G261" s="397">
        <f>(DSUM('2_Fluorados'!$E$11:$P$33,"emisiones",'6.2_Resultados España'!E$71:E261)/1000)-SUM(G$72:G260)</f>
        <v>0</v>
      </c>
      <c r="H261" s="503">
        <f>(DSUM('3_Emisiones proceso'!$E$13:$L$35,"emisiones",'6.2_Resultados España'!E$71:E261)/1000)-SUM(H$72:H260)</f>
        <v>0</v>
      </c>
      <c r="I261" s="503"/>
      <c r="J261" s="504">
        <f t="shared" si="6"/>
        <v>0</v>
      </c>
      <c r="K261" s="504"/>
      <c r="L261" s="504"/>
      <c r="M261" s="504"/>
      <c r="N261" s="503">
        <f>(DSUM('4.2_Electricidad España'!$E$19:$J$41,"emisiones",'6.2_Resultados España'!E$71:E261)/1000)-SUM(N$72:N260)</f>
        <v>0</v>
      </c>
      <c r="O261" s="503"/>
      <c r="P261" s="504">
        <f t="shared" si="7"/>
        <v>0</v>
      </c>
      <c r="Q261" s="504"/>
      <c r="R261" s="504"/>
    </row>
    <row r="262" spans="5:18" x14ac:dyDescent="0.3">
      <c r="E262" s="195" t="str">
        <f>IF(Dades!C852="","",Dades!C852)</f>
        <v/>
      </c>
      <c r="F262" s="397">
        <f>(DSUM('1_Combustibles fósiles'!$E$17:$N$39,"emisiones",'6.2_Resultados España'!E$71:E262)/1000)-SUM(F$72:F261)</f>
        <v>0</v>
      </c>
      <c r="G262" s="397">
        <f>(DSUM('2_Fluorados'!$E$11:$P$33,"emisiones",'6.2_Resultados España'!E$71:E262)/1000)-SUM(G$72:G261)</f>
        <v>0</v>
      </c>
      <c r="H262" s="503">
        <f>(DSUM('3_Emisiones proceso'!$E$13:$L$35,"emisiones",'6.2_Resultados España'!E$71:E262)/1000)-SUM(H$72:H261)</f>
        <v>0</v>
      </c>
      <c r="I262" s="503"/>
      <c r="J262" s="504">
        <f t="shared" si="6"/>
        <v>0</v>
      </c>
      <c r="K262" s="504"/>
      <c r="L262" s="504"/>
      <c r="M262" s="504"/>
      <c r="N262" s="503">
        <f>(DSUM('4.2_Electricidad España'!$E$19:$J$41,"emisiones",'6.2_Resultados España'!E$71:E262)/1000)-SUM(N$72:N261)</f>
        <v>0</v>
      </c>
      <c r="O262" s="503"/>
      <c r="P262" s="504">
        <f t="shared" si="7"/>
        <v>0</v>
      </c>
      <c r="Q262" s="504"/>
      <c r="R262" s="504"/>
    </row>
    <row r="263" spans="5:18" x14ac:dyDescent="0.3">
      <c r="E263" s="195" t="str">
        <f>IF(Dades!C853="","",Dades!C853)</f>
        <v/>
      </c>
      <c r="F263" s="397">
        <f>(DSUM('1_Combustibles fósiles'!$E$17:$N$39,"emisiones",'6.2_Resultados España'!E$71:E263)/1000)-SUM(F$72:F262)</f>
        <v>0</v>
      </c>
      <c r="G263" s="397">
        <f>(DSUM('2_Fluorados'!$E$11:$P$33,"emisiones",'6.2_Resultados España'!E$71:E263)/1000)-SUM(G$72:G262)</f>
        <v>0</v>
      </c>
      <c r="H263" s="503">
        <f>(DSUM('3_Emisiones proceso'!$E$13:$L$35,"emisiones",'6.2_Resultados España'!E$71:E263)/1000)-SUM(H$72:H262)</f>
        <v>0</v>
      </c>
      <c r="I263" s="503"/>
      <c r="J263" s="504">
        <f t="shared" si="6"/>
        <v>0</v>
      </c>
      <c r="K263" s="504"/>
      <c r="L263" s="504"/>
      <c r="M263" s="504"/>
      <c r="N263" s="503">
        <f>(DSUM('4.2_Electricidad España'!$E$19:$J$41,"emisiones",'6.2_Resultados España'!E$71:E263)/1000)-SUM(N$72:N262)</f>
        <v>0</v>
      </c>
      <c r="O263" s="503"/>
      <c r="P263" s="504">
        <f t="shared" si="7"/>
        <v>0</v>
      </c>
      <c r="Q263" s="504"/>
      <c r="R263" s="504"/>
    </row>
    <row r="264" spans="5:18" x14ac:dyDescent="0.3">
      <c r="E264" s="195" t="str">
        <f>IF(Dades!C854="","",Dades!C854)</f>
        <v/>
      </c>
      <c r="F264" s="397">
        <f>(DSUM('1_Combustibles fósiles'!$E$17:$N$39,"emisiones",'6.2_Resultados España'!E$71:E264)/1000)-SUM(F$72:F263)</f>
        <v>0</v>
      </c>
      <c r="G264" s="397">
        <f>(DSUM('2_Fluorados'!$E$11:$P$33,"emisiones",'6.2_Resultados España'!E$71:E264)/1000)-SUM(G$72:G263)</f>
        <v>0</v>
      </c>
      <c r="H264" s="503">
        <f>(DSUM('3_Emisiones proceso'!$E$13:$L$35,"emisiones",'6.2_Resultados España'!E$71:E264)/1000)-SUM(H$72:H263)</f>
        <v>0</v>
      </c>
      <c r="I264" s="503"/>
      <c r="J264" s="504">
        <f t="shared" si="6"/>
        <v>0</v>
      </c>
      <c r="K264" s="504"/>
      <c r="L264" s="504"/>
      <c r="M264" s="504"/>
      <c r="N264" s="503">
        <f>(DSUM('4.2_Electricidad España'!$E$19:$J$41,"emisiones",'6.2_Resultados España'!E$71:E264)/1000)-SUM(N$72:N263)</f>
        <v>0</v>
      </c>
      <c r="O264" s="503"/>
      <c r="P264" s="504">
        <f t="shared" si="7"/>
        <v>0</v>
      </c>
      <c r="Q264" s="504"/>
      <c r="R264" s="504"/>
    </row>
    <row r="265" spans="5:18" x14ac:dyDescent="0.3">
      <c r="E265" s="195" t="str">
        <f>IF(Dades!C855="","",Dades!C855)</f>
        <v/>
      </c>
      <c r="F265" s="397">
        <f>(DSUM('1_Combustibles fósiles'!$E$17:$N$39,"emisiones",'6.2_Resultados España'!E$71:E265)/1000)-SUM(F$72:F264)</f>
        <v>0</v>
      </c>
      <c r="G265" s="397">
        <f>(DSUM('2_Fluorados'!$E$11:$P$33,"emisiones",'6.2_Resultados España'!E$71:E265)/1000)-SUM(G$72:G264)</f>
        <v>0</v>
      </c>
      <c r="H265" s="503">
        <f>(DSUM('3_Emisiones proceso'!$E$13:$L$35,"emisiones",'6.2_Resultados España'!E$71:E265)/1000)-SUM(H$72:H264)</f>
        <v>0</v>
      </c>
      <c r="I265" s="503"/>
      <c r="J265" s="504">
        <f t="shared" si="6"/>
        <v>0</v>
      </c>
      <c r="K265" s="504"/>
      <c r="L265" s="504"/>
      <c r="M265" s="504"/>
      <c r="N265" s="503">
        <f>(DSUM('4.2_Electricidad España'!$E$19:$J$41,"emisiones",'6.2_Resultados España'!E$71:E265)/1000)-SUM(N$72:N264)</f>
        <v>0</v>
      </c>
      <c r="O265" s="503"/>
      <c r="P265" s="504">
        <f t="shared" si="7"/>
        <v>0</v>
      </c>
      <c r="Q265" s="504"/>
      <c r="R265" s="504"/>
    </row>
    <row r="266" spans="5:18" x14ac:dyDescent="0.3">
      <c r="E266" s="195" t="str">
        <f>IF(Dades!C856="","",Dades!C856)</f>
        <v/>
      </c>
      <c r="F266" s="397">
        <f>(DSUM('1_Combustibles fósiles'!$E$17:$N$39,"emisiones",'6.2_Resultados España'!E$71:E266)/1000)-SUM(F$72:F265)</f>
        <v>0</v>
      </c>
      <c r="G266" s="397">
        <f>(DSUM('2_Fluorados'!$E$11:$P$33,"emisiones",'6.2_Resultados España'!E$71:E266)/1000)-SUM(G$72:G265)</f>
        <v>0</v>
      </c>
      <c r="H266" s="503">
        <f>(DSUM('3_Emisiones proceso'!$E$13:$L$35,"emisiones",'6.2_Resultados España'!E$71:E266)/1000)-SUM(H$72:H265)</f>
        <v>0</v>
      </c>
      <c r="I266" s="503"/>
      <c r="J266" s="504">
        <f t="shared" ref="J266:J321" si="8">SUM(F266:I266)</f>
        <v>0</v>
      </c>
      <c r="K266" s="504"/>
      <c r="L266" s="504"/>
      <c r="M266" s="504"/>
      <c r="N266" s="503">
        <f>(DSUM('4.2_Electricidad España'!$E$19:$J$41,"emisiones",'6.2_Resultados España'!E$71:E266)/1000)-SUM(N$72:N265)</f>
        <v>0</v>
      </c>
      <c r="O266" s="503"/>
      <c r="P266" s="504">
        <f t="shared" ref="P266:P321" si="9">J266+N266</f>
        <v>0</v>
      </c>
      <c r="Q266" s="504"/>
      <c r="R266" s="504"/>
    </row>
    <row r="267" spans="5:18" x14ac:dyDescent="0.3">
      <c r="E267" s="195" t="str">
        <f>IF(Dades!C857="","",Dades!C857)</f>
        <v/>
      </c>
      <c r="F267" s="397">
        <f>(DSUM('1_Combustibles fósiles'!$E$17:$N$39,"emisiones",'6.2_Resultados España'!E$71:E267)/1000)-SUM(F$72:F266)</f>
        <v>0</v>
      </c>
      <c r="G267" s="397">
        <f>(DSUM('2_Fluorados'!$E$11:$P$33,"emisiones",'6.2_Resultados España'!E$71:E267)/1000)-SUM(G$72:G266)</f>
        <v>0</v>
      </c>
      <c r="H267" s="503">
        <f>(DSUM('3_Emisiones proceso'!$E$13:$L$35,"emisiones",'6.2_Resultados España'!E$71:E267)/1000)-SUM(H$72:H266)</f>
        <v>0</v>
      </c>
      <c r="I267" s="503"/>
      <c r="J267" s="504">
        <f t="shared" si="8"/>
        <v>0</v>
      </c>
      <c r="K267" s="504"/>
      <c r="L267" s="504"/>
      <c r="M267" s="504"/>
      <c r="N267" s="503">
        <f>(DSUM('4.2_Electricidad España'!$E$19:$J$41,"emisiones",'6.2_Resultados España'!E$71:E267)/1000)-SUM(N$72:N266)</f>
        <v>0</v>
      </c>
      <c r="O267" s="503"/>
      <c r="P267" s="504">
        <f t="shared" si="9"/>
        <v>0</v>
      </c>
      <c r="Q267" s="504"/>
      <c r="R267" s="504"/>
    </row>
    <row r="268" spans="5:18" x14ac:dyDescent="0.3">
      <c r="E268" s="195" t="str">
        <f>IF(Dades!C858="","",Dades!C858)</f>
        <v/>
      </c>
      <c r="F268" s="397">
        <f>(DSUM('1_Combustibles fósiles'!$E$17:$N$39,"emisiones",'6.2_Resultados España'!E$71:E268)/1000)-SUM(F$72:F267)</f>
        <v>0</v>
      </c>
      <c r="G268" s="397">
        <f>(DSUM('2_Fluorados'!$E$11:$P$33,"emisiones",'6.2_Resultados España'!E$71:E268)/1000)-SUM(G$72:G267)</f>
        <v>0</v>
      </c>
      <c r="H268" s="503">
        <f>(DSUM('3_Emisiones proceso'!$E$13:$L$35,"emisiones",'6.2_Resultados España'!E$71:E268)/1000)-SUM(H$72:H267)</f>
        <v>0</v>
      </c>
      <c r="I268" s="503"/>
      <c r="J268" s="504">
        <f t="shared" si="8"/>
        <v>0</v>
      </c>
      <c r="K268" s="504"/>
      <c r="L268" s="504"/>
      <c r="M268" s="504"/>
      <c r="N268" s="503">
        <f>(DSUM('4.2_Electricidad España'!$E$19:$J$41,"emisiones",'6.2_Resultados España'!E$71:E268)/1000)-SUM(N$72:N267)</f>
        <v>0</v>
      </c>
      <c r="O268" s="503"/>
      <c r="P268" s="504">
        <f t="shared" si="9"/>
        <v>0</v>
      </c>
      <c r="Q268" s="504"/>
      <c r="R268" s="504"/>
    </row>
    <row r="269" spans="5:18" x14ac:dyDescent="0.3">
      <c r="E269" s="195" t="str">
        <f>IF(Dades!C859="","",Dades!C859)</f>
        <v/>
      </c>
      <c r="F269" s="397">
        <f>(DSUM('1_Combustibles fósiles'!$E$17:$N$39,"emisiones",'6.2_Resultados España'!E$71:E269)/1000)-SUM(F$72:F268)</f>
        <v>0</v>
      </c>
      <c r="G269" s="397">
        <f>(DSUM('2_Fluorados'!$E$11:$P$33,"emisiones",'6.2_Resultados España'!E$71:E269)/1000)-SUM(G$72:G268)</f>
        <v>0</v>
      </c>
      <c r="H269" s="503">
        <f>(DSUM('3_Emisiones proceso'!$E$13:$L$35,"emisiones",'6.2_Resultados España'!E$71:E269)/1000)-SUM(H$72:H268)</f>
        <v>0</v>
      </c>
      <c r="I269" s="503"/>
      <c r="J269" s="504">
        <f t="shared" si="8"/>
        <v>0</v>
      </c>
      <c r="K269" s="504"/>
      <c r="L269" s="504"/>
      <c r="M269" s="504"/>
      <c r="N269" s="503">
        <f>(DSUM('4.2_Electricidad España'!$E$19:$J$41,"emisiones",'6.2_Resultados España'!E$71:E269)/1000)-SUM(N$72:N268)</f>
        <v>0</v>
      </c>
      <c r="O269" s="503"/>
      <c r="P269" s="504">
        <f t="shared" si="9"/>
        <v>0</v>
      </c>
      <c r="Q269" s="504"/>
      <c r="R269" s="504"/>
    </row>
    <row r="270" spans="5:18" x14ac:dyDescent="0.3">
      <c r="E270" s="195" t="str">
        <f>IF(Dades!C860="","",Dades!C860)</f>
        <v/>
      </c>
      <c r="F270" s="397">
        <f>(DSUM('1_Combustibles fósiles'!$E$17:$N$39,"emisiones",'6.2_Resultados España'!E$71:E270)/1000)-SUM(F$72:F269)</f>
        <v>0</v>
      </c>
      <c r="G270" s="397">
        <f>(DSUM('2_Fluorados'!$E$11:$P$33,"emisiones",'6.2_Resultados España'!E$71:E270)/1000)-SUM(G$72:G269)</f>
        <v>0</v>
      </c>
      <c r="H270" s="503">
        <f>(DSUM('3_Emisiones proceso'!$E$13:$L$35,"emisiones",'6.2_Resultados España'!E$71:E270)/1000)-SUM(H$72:H269)</f>
        <v>0</v>
      </c>
      <c r="I270" s="503"/>
      <c r="J270" s="504">
        <f t="shared" si="8"/>
        <v>0</v>
      </c>
      <c r="K270" s="504"/>
      <c r="L270" s="504"/>
      <c r="M270" s="504"/>
      <c r="N270" s="503">
        <f>(DSUM('4.2_Electricidad España'!$E$19:$J$41,"emisiones",'6.2_Resultados España'!E$71:E270)/1000)-SUM(N$72:N269)</f>
        <v>0</v>
      </c>
      <c r="O270" s="503"/>
      <c r="P270" s="504">
        <f t="shared" si="9"/>
        <v>0</v>
      </c>
      <c r="Q270" s="504"/>
      <c r="R270" s="504"/>
    </row>
    <row r="271" spans="5:18" x14ac:dyDescent="0.3">
      <c r="E271" s="195" t="str">
        <f>IF(Dades!C861="","",Dades!C861)</f>
        <v/>
      </c>
      <c r="F271" s="397">
        <f>(DSUM('1_Combustibles fósiles'!$E$17:$N$39,"emisiones",'6.2_Resultados España'!E$71:E271)/1000)-SUM(F$72:F270)</f>
        <v>0</v>
      </c>
      <c r="G271" s="397">
        <f>(DSUM('2_Fluorados'!$E$11:$P$33,"emisiones",'6.2_Resultados España'!E$71:E271)/1000)-SUM(G$72:G270)</f>
        <v>0</v>
      </c>
      <c r="H271" s="503">
        <f>(DSUM('3_Emisiones proceso'!$E$13:$L$35,"emisiones",'6.2_Resultados España'!E$71:E271)/1000)-SUM(H$72:H270)</f>
        <v>0</v>
      </c>
      <c r="I271" s="503"/>
      <c r="J271" s="504">
        <f t="shared" si="8"/>
        <v>0</v>
      </c>
      <c r="K271" s="504"/>
      <c r="L271" s="504"/>
      <c r="M271" s="504"/>
      <c r="N271" s="503">
        <f>(DSUM('4.2_Electricidad España'!$E$19:$J$41,"emisiones",'6.2_Resultados España'!E$71:E271)/1000)-SUM(N$72:N270)</f>
        <v>0</v>
      </c>
      <c r="O271" s="503"/>
      <c r="P271" s="504">
        <f t="shared" si="9"/>
        <v>0</v>
      </c>
      <c r="Q271" s="504"/>
      <c r="R271" s="504"/>
    </row>
    <row r="272" spans="5:18" x14ac:dyDescent="0.3">
      <c r="E272" s="195" t="str">
        <f>IF(Dades!C862="","",Dades!C862)</f>
        <v/>
      </c>
      <c r="F272" s="397">
        <f>(DSUM('1_Combustibles fósiles'!$E$17:$N$39,"emisiones",'6.2_Resultados España'!E$71:E272)/1000)-SUM(F$72:F271)</f>
        <v>0</v>
      </c>
      <c r="G272" s="397">
        <f>(DSUM('2_Fluorados'!$E$11:$P$33,"emisiones",'6.2_Resultados España'!E$71:E272)/1000)-SUM(G$72:G271)</f>
        <v>0</v>
      </c>
      <c r="H272" s="503">
        <f>(DSUM('3_Emisiones proceso'!$E$13:$L$35,"emisiones",'6.2_Resultados España'!E$71:E272)/1000)-SUM(H$72:H271)</f>
        <v>0</v>
      </c>
      <c r="I272" s="503"/>
      <c r="J272" s="504">
        <f t="shared" si="8"/>
        <v>0</v>
      </c>
      <c r="K272" s="504"/>
      <c r="L272" s="504"/>
      <c r="M272" s="504"/>
      <c r="N272" s="503">
        <f>(DSUM('4.2_Electricidad España'!$E$19:$J$41,"emisiones",'6.2_Resultados España'!E$71:E272)/1000)-SUM(N$72:N271)</f>
        <v>0</v>
      </c>
      <c r="O272" s="503"/>
      <c r="P272" s="504">
        <f t="shared" si="9"/>
        <v>0</v>
      </c>
      <c r="Q272" s="504"/>
      <c r="R272" s="504"/>
    </row>
    <row r="273" spans="5:18" x14ac:dyDescent="0.3">
      <c r="E273" s="195" t="str">
        <f>IF(Dades!C863="","",Dades!C863)</f>
        <v/>
      </c>
      <c r="F273" s="397">
        <f>(DSUM('1_Combustibles fósiles'!$E$17:$N$39,"emisiones",'6.2_Resultados España'!E$71:E273)/1000)-SUM(F$72:F272)</f>
        <v>0</v>
      </c>
      <c r="G273" s="397">
        <f>(DSUM('2_Fluorados'!$E$11:$P$33,"emisiones",'6.2_Resultados España'!E$71:E273)/1000)-SUM(G$72:G272)</f>
        <v>0</v>
      </c>
      <c r="H273" s="503">
        <f>(DSUM('3_Emisiones proceso'!$E$13:$L$35,"emisiones",'6.2_Resultados España'!E$71:E273)/1000)-SUM(H$72:H272)</f>
        <v>0</v>
      </c>
      <c r="I273" s="503"/>
      <c r="J273" s="504">
        <f t="shared" si="8"/>
        <v>0</v>
      </c>
      <c r="K273" s="504"/>
      <c r="L273" s="504"/>
      <c r="M273" s="504"/>
      <c r="N273" s="503">
        <f>(DSUM('4.2_Electricidad España'!$E$19:$J$41,"emisiones",'6.2_Resultados España'!E$71:E273)/1000)-SUM(N$72:N272)</f>
        <v>0</v>
      </c>
      <c r="O273" s="503"/>
      <c r="P273" s="504">
        <f t="shared" si="9"/>
        <v>0</v>
      </c>
      <c r="Q273" s="504"/>
      <c r="R273" s="504"/>
    </row>
    <row r="274" spans="5:18" x14ac:dyDescent="0.3">
      <c r="E274" s="195" t="str">
        <f>IF(Dades!C864="","",Dades!C864)</f>
        <v/>
      </c>
      <c r="F274" s="397">
        <f>(DSUM('1_Combustibles fósiles'!$E$17:$N$39,"emisiones",'6.2_Resultados España'!E$71:E274)/1000)-SUM(F$72:F273)</f>
        <v>0</v>
      </c>
      <c r="G274" s="397">
        <f>(DSUM('2_Fluorados'!$E$11:$P$33,"emisiones",'6.2_Resultados España'!E$71:E274)/1000)-SUM(G$72:G273)</f>
        <v>0</v>
      </c>
      <c r="H274" s="503">
        <f>(DSUM('3_Emisiones proceso'!$E$13:$L$35,"emisiones",'6.2_Resultados España'!E$71:E274)/1000)-SUM(H$72:H273)</f>
        <v>0</v>
      </c>
      <c r="I274" s="503"/>
      <c r="J274" s="504">
        <f t="shared" si="8"/>
        <v>0</v>
      </c>
      <c r="K274" s="504"/>
      <c r="L274" s="504"/>
      <c r="M274" s="504"/>
      <c r="N274" s="503">
        <f>(DSUM('4.2_Electricidad España'!$E$19:$J$41,"emisiones",'6.2_Resultados España'!E$71:E274)/1000)-SUM(N$72:N273)</f>
        <v>0</v>
      </c>
      <c r="O274" s="503"/>
      <c r="P274" s="504">
        <f t="shared" si="9"/>
        <v>0</v>
      </c>
      <c r="Q274" s="504"/>
      <c r="R274" s="504"/>
    </row>
    <row r="275" spans="5:18" x14ac:dyDescent="0.3">
      <c r="E275" s="195" t="str">
        <f>IF(Dades!C865="","",Dades!C865)</f>
        <v/>
      </c>
      <c r="F275" s="397">
        <f>(DSUM('1_Combustibles fósiles'!$E$17:$N$39,"emisiones",'6.2_Resultados España'!E$71:E275)/1000)-SUM(F$72:F274)</f>
        <v>0</v>
      </c>
      <c r="G275" s="397">
        <f>(DSUM('2_Fluorados'!$E$11:$P$33,"emisiones",'6.2_Resultados España'!E$71:E275)/1000)-SUM(G$72:G274)</f>
        <v>0</v>
      </c>
      <c r="H275" s="503">
        <f>(DSUM('3_Emisiones proceso'!$E$13:$L$35,"emisiones",'6.2_Resultados España'!E$71:E275)/1000)-SUM(H$72:H274)</f>
        <v>0</v>
      </c>
      <c r="I275" s="503"/>
      <c r="J275" s="504">
        <f t="shared" si="8"/>
        <v>0</v>
      </c>
      <c r="K275" s="504"/>
      <c r="L275" s="504"/>
      <c r="M275" s="504"/>
      <c r="N275" s="503">
        <f>(DSUM('4.2_Electricidad España'!$E$19:$J$41,"emisiones",'6.2_Resultados España'!E$71:E275)/1000)-SUM(N$72:N274)</f>
        <v>0</v>
      </c>
      <c r="O275" s="503"/>
      <c r="P275" s="504">
        <f t="shared" si="9"/>
        <v>0</v>
      </c>
      <c r="Q275" s="504"/>
      <c r="R275" s="504"/>
    </row>
    <row r="276" spans="5:18" x14ac:dyDescent="0.3">
      <c r="E276" s="195" t="str">
        <f>IF(Dades!C866="","",Dades!C866)</f>
        <v/>
      </c>
      <c r="F276" s="397">
        <f>(DSUM('1_Combustibles fósiles'!$E$17:$N$39,"emisiones",'6.2_Resultados España'!E$71:E276)/1000)-SUM(F$72:F275)</f>
        <v>0</v>
      </c>
      <c r="G276" s="397">
        <f>(DSUM('2_Fluorados'!$E$11:$P$33,"emisiones",'6.2_Resultados España'!E$71:E276)/1000)-SUM(G$72:G275)</f>
        <v>0</v>
      </c>
      <c r="H276" s="503">
        <f>(DSUM('3_Emisiones proceso'!$E$13:$L$35,"emisiones",'6.2_Resultados España'!E$71:E276)/1000)-SUM(H$72:H275)</f>
        <v>0</v>
      </c>
      <c r="I276" s="503"/>
      <c r="J276" s="504">
        <f t="shared" si="8"/>
        <v>0</v>
      </c>
      <c r="K276" s="504"/>
      <c r="L276" s="504"/>
      <c r="M276" s="504"/>
      <c r="N276" s="503">
        <f>(DSUM('4.2_Electricidad España'!$E$19:$J$41,"emisiones",'6.2_Resultados España'!E$71:E276)/1000)-SUM(N$72:N275)</f>
        <v>0</v>
      </c>
      <c r="O276" s="503"/>
      <c r="P276" s="504">
        <f t="shared" si="9"/>
        <v>0</v>
      </c>
      <c r="Q276" s="504"/>
      <c r="R276" s="504"/>
    </row>
    <row r="277" spans="5:18" x14ac:dyDescent="0.3">
      <c r="E277" s="195" t="str">
        <f>IF(Dades!C867="","",Dades!C867)</f>
        <v/>
      </c>
      <c r="F277" s="397">
        <f>(DSUM('1_Combustibles fósiles'!$E$17:$N$39,"emisiones",'6.2_Resultados España'!E$71:E277)/1000)-SUM(F$72:F276)</f>
        <v>0</v>
      </c>
      <c r="G277" s="397">
        <f>(DSUM('2_Fluorados'!$E$11:$P$33,"emisiones",'6.2_Resultados España'!E$71:E277)/1000)-SUM(G$72:G276)</f>
        <v>0</v>
      </c>
      <c r="H277" s="503">
        <f>(DSUM('3_Emisiones proceso'!$E$13:$L$35,"emisiones",'6.2_Resultados España'!E$71:E277)/1000)-SUM(H$72:H276)</f>
        <v>0</v>
      </c>
      <c r="I277" s="503"/>
      <c r="J277" s="504">
        <f t="shared" si="8"/>
        <v>0</v>
      </c>
      <c r="K277" s="504"/>
      <c r="L277" s="504"/>
      <c r="M277" s="504"/>
      <c r="N277" s="503">
        <f>(DSUM('4.2_Electricidad España'!$E$19:$J$41,"emisiones",'6.2_Resultados España'!E$71:E277)/1000)-SUM(N$72:N276)</f>
        <v>0</v>
      </c>
      <c r="O277" s="503"/>
      <c r="P277" s="504">
        <f t="shared" si="9"/>
        <v>0</v>
      </c>
      <c r="Q277" s="504"/>
      <c r="R277" s="504"/>
    </row>
    <row r="278" spans="5:18" x14ac:dyDescent="0.3">
      <c r="E278" s="195" t="str">
        <f>IF(Dades!C868="","",Dades!C868)</f>
        <v/>
      </c>
      <c r="F278" s="397">
        <f>(DSUM('1_Combustibles fósiles'!$E$17:$N$39,"emisiones",'6.2_Resultados España'!E$71:E278)/1000)-SUM(F$72:F277)</f>
        <v>0</v>
      </c>
      <c r="G278" s="397">
        <f>(DSUM('2_Fluorados'!$E$11:$P$33,"emisiones",'6.2_Resultados España'!E$71:E278)/1000)-SUM(G$72:G277)</f>
        <v>0</v>
      </c>
      <c r="H278" s="503">
        <f>(DSUM('3_Emisiones proceso'!$E$13:$L$35,"emisiones",'6.2_Resultados España'!E$71:E278)/1000)-SUM(H$72:H277)</f>
        <v>0</v>
      </c>
      <c r="I278" s="503"/>
      <c r="J278" s="504">
        <f t="shared" si="8"/>
        <v>0</v>
      </c>
      <c r="K278" s="504"/>
      <c r="L278" s="504"/>
      <c r="M278" s="504"/>
      <c r="N278" s="503">
        <f>(DSUM('4.2_Electricidad España'!$E$19:$J$41,"emisiones",'6.2_Resultados España'!E$71:E278)/1000)-SUM(N$72:N277)</f>
        <v>0</v>
      </c>
      <c r="O278" s="503"/>
      <c r="P278" s="504">
        <f t="shared" si="9"/>
        <v>0</v>
      </c>
      <c r="Q278" s="504"/>
      <c r="R278" s="504"/>
    </row>
    <row r="279" spans="5:18" x14ac:dyDescent="0.3">
      <c r="E279" s="195" t="str">
        <f>IF(Dades!C869="","",Dades!C869)</f>
        <v/>
      </c>
      <c r="F279" s="397">
        <f>(DSUM('1_Combustibles fósiles'!$E$17:$N$39,"emisiones",'6.2_Resultados España'!E$71:E279)/1000)-SUM(F$72:F278)</f>
        <v>0</v>
      </c>
      <c r="G279" s="397">
        <f>(DSUM('2_Fluorados'!$E$11:$P$33,"emisiones",'6.2_Resultados España'!E$71:E279)/1000)-SUM(G$72:G278)</f>
        <v>0</v>
      </c>
      <c r="H279" s="503">
        <f>(DSUM('3_Emisiones proceso'!$E$13:$L$35,"emisiones",'6.2_Resultados España'!E$71:E279)/1000)-SUM(H$72:H278)</f>
        <v>0</v>
      </c>
      <c r="I279" s="503"/>
      <c r="J279" s="504">
        <f t="shared" si="8"/>
        <v>0</v>
      </c>
      <c r="K279" s="504"/>
      <c r="L279" s="504"/>
      <c r="M279" s="504"/>
      <c r="N279" s="503">
        <f>(DSUM('4.2_Electricidad España'!$E$19:$J$41,"emisiones",'6.2_Resultados España'!E$71:E279)/1000)-SUM(N$72:N278)</f>
        <v>0</v>
      </c>
      <c r="O279" s="503"/>
      <c r="P279" s="504">
        <f t="shared" si="9"/>
        <v>0</v>
      </c>
      <c r="Q279" s="504"/>
      <c r="R279" s="504"/>
    </row>
    <row r="280" spans="5:18" x14ac:dyDescent="0.3">
      <c r="E280" s="195" t="str">
        <f>IF(Dades!C870="","",Dades!C870)</f>
        <v/>
      </c>
      <c r="F280" s="397">
        <f>(DSUM('1_Combustibles fósiles'!$E$17:$N$39,"emisiones",'6.2_Resultados España'!E$71:E280)/1000)-SUM(F$72:F279)</f>
        <v>0</v>
      </c>
      <c r="G280" s="397">
        <f>(DSUM('2_Fluorados'!$E$11:$P$33,"emisiones",'6.2_Resultados España'!E$71:E280)/1000)-SUM(G$72:G279)</f>
        <v>0</v>
      </c>
      <c r="H280" s="503">
        <f>(DSUM('3_Emisiones proceso'!$E$13:$L$35,"emisiones",'6.2_Resultados España'!E$71:E280)/1000)-SUM(H$72:H279)</f>
        <v>0</v>
      </c>
      <c r="I280" s="503"/>
      <c r="J280" s="504">
        <f t="shared" si="8"/>
        <v>0</v>
      </c>
      <c r="K280" s="504"/>
      <c r="L280" s="504"/>
      <c r="M280" s="504"/>
      <c r="N280" s="503">
        <f>(DSUM('4.2_Electricidad España'!$E$19:$J$41,"emisiones",'6.2_Resultados España'!E$71:E280)/1000)-SUM(N$72:N279)</f>
        <v>0</v>
      </c>
      <c r="O280" s="503"/>
      <c r="P280" s="504">
        <f t="shared" si="9"/>
        <v>0</v>
      </c>
      <c r="Q280" s="504"/>
      <c r="R280" s="504"/>
    </row>
    <row r="281" spans="5:18" x14ac:dyDescent="0.3">
      <c r="E281" s="195" t="str">
        <f>IF(Dades!C871="","",Dades!C871)</f>
        <v/>
      </c>
      <c r="F281" s="397">
        <f>(DSUM('1_Combustibles fósiles'!$E$17:$N$39,"emisiones",'6.2_Resultados España'!E$71:E281)/1000)-SUM(F$72:F280)</f>
        <v>0</v>
      </c>
      <c r="G281" s="397">
        <f>(DSUM('2_Fluorados'!$E$11:$P$33,"emisiones",'6.2_Resultados España'!E$71:E281)/1000)-SUM(G$72:G280)</f>
        <v>0</v>
      </c>
      <c r="H281" s="503">
        <f>(DSUM('3_Emisiones proceso'!$E$13:$L$35,"emisiones",'6.2_Resultados España'!E$71:E281)/1000)-SUM(H$72:H280)</f>
        <v>0</v>
      </c>
      <c r="I281" s="503"/>
      <c r="J281" s="504">
        <f t="shared" si="8"/>
        <v>0</v>
      </c>
      <c r="K281" s="504"/>
      <c r="L281" s="504"/>
      <c r="M281" s="504"/>
      <c r="N281" s="503">
        <f>(DSUM('4.2_Electricidad España'!$E$19:$J$41,"emisiones",'6.2_Resultados España'!E$71:E281)/1000)-SUM(N$72:N280)</f>
        <v>0</v>
      </c>
      <c r="O281" s="503"/>
      <c r="P281" s="504">
        <f t="shared" si="9"/>
        <v>0</v>
      </c>
      <c r="Q281" s="504"/>
      <c r="R281" s="504"/>
    </row>
    <row r="282" spans="5:18" x14ac:dyDescent="0.3">
      <c r="E282" s="195" t="str">
        <f>IF(Dades!C872="","",Dades!C872)</f>
        <v/>
      </c>
      <c r="F282" s="397">
        <f>(DSUM('1_Combustibles fósiles'!$E$17:$N$39,"emisiones",'6.2_Resultados España'!E$71:E282)/1000)-SUM(F$72:F281)</f>
        <v>0</v>
      </c>
      <c r="G282" s="397">
        <f>(DSUM('2_Fluorados'!$E$11:$P$33,"emisiones",'6.2_Resultados España'!E$71:E282)/1000)-SUM(G$72:G281)</f>
        <v>0</v>
      </c>
      <c r="H282" s="503">
        <f>(DSUM('3_Emisiones proceso'!$E$13:$L$35,"emisiones",'6.2_Resultados España'!E$71:E282)/1000)-SUM(H$72:H281)</f>
        <v>0</v>
      </c>
      <c r="I282" s="503"/>
      <c r="J282" s="504">
        <f t="shared" si="8"/>
        <v>0</v>
      </c>
      <c r="K282" s="504"/>
      <c r="L282" s="504"/>
      <c r="M282" s="504"/>
      <c r="N282" s="503">
        <f>(DSUM('4.2_Electricidad España'!$E$19:$J$41,"emisiones",'6.2_Resultados España'!E$71:E282)/1000)-SUM(N$72:N281)</f>
        <v>0</v>
      </c>
      <c r="O282" s="503"/>
      <c r="P282" s="504">
        <f t="shared" si="9"/>
        <v>0</v>
      </c>
      <c r="Q282" s="504"/>
      <c r="R282" s="504"/>
    </row>
    <row r="283" spans="5:18" x14ac:dyDescent="0.3">
      <c r="E283" s="195" t="str">
        <f>IF(Dades!C873="","",Dades!C873)</f>
        <v/>
      </c>
      <c r="F283" s="397">
        <f>(DSUM('1_Combustibles fósiles'!$E$17:$N$39,"emisiones",'6.2_Resultados España'!E$71:E283)/1000)-SUM(F$72:F282)</f>
        <v>0</v>
      </c>
      <c r="G283" s="397">
        <f>(DSUM('2_Fluorados'!$E$11:$P$33,"emisiones",'6.2_Resultados España'!E$71:E283)/1000)-SUM(G$72:G282)</f>
        <v>0</v>
      </c>
      <c r="H283" s="503">
        <f>(DSUM('3_Emisiones proceso'!$E$13:$L$35,"emisiones",'6.2_Resultados España'!E$71:E283)/1000)-SUM(H$72:H282)</f>
        <v>0</v>
      </c>
      <c r="I283" s="503"/>
      <c r="J283" s="504">
        <f t="shared" si="8"/>
        <v>0</v>
      </c>
      <c r="K283" s="504"/>
      <c r="L283" s="504"/>
      <c r="M283" s="504"/>
      <c r="N283" s="503">
        <f>(DSUM('4.2_Electricidad España'!$E$19:$J$41,"emisiones",'6.2_Resultados España'!E$71:E283)/1000)-SUM(N$72:N282)</f>
        <v>0</v>
      </c>
      <c r="O283" s="503"/>
      <c r="P283" s="504">
        <f t="shared" si="9"/>
        <v>0</v>
      </c>
      <c r="Q283" s="504"/>
      <c r="R283" s="504"/>
    </row>
    <row r="284" spans="5:18" x14ac:dyDescent="0.3">
      <c r="E284" s="195" t="str">
        <f>IF(Dades!C874="","",Dades!C874)</f>
        <v/>
      </c>
      <c r="F284" s="397">
        <f>(DSUM('1_Combustibles fósiles'!$E$17:$N$39,"emisiones",'6.2_Resultados España'!E$71:E284)/1000)-SUM(F$72:F283)</f>
        <v>0</v>
      </c>
      <c r="G284" s="397">
        <f>(DSUM('2_Fluorados'!$E$11:$P$33,"emisiones",'6.2_Resultados España'!E$71:E284)/1000)-SUM(G$72:G283)</f>
        <v>0</v>
      </c>
      <c r="H284" s="503">
        <f>(DSUM('3_Emisiones proceso'!$E$13:$L$35,"emisiones",'6.2_Resultados España'!E$71:E284)/1000)-SUM(H$72:H283)</f>
        <v>0</v>
      </c>
      <c r="I284" s="503"/>
      <c r="J284" s="504">
        <f t="shared" si="8"/>
        <v>0</v>
      </c>
      <c r="K284" s="504"/>
      <c r="L284" s="504"/>
      <c r="M284" s="504"/>
      <c r="N284" s="503">
        <f>(DSUM('4.2_Electricidad España'!$E$19:$J$41,"emisiones",'6.2_Resultados España'!E$71:E284)/1000)-SUM(N$72:N283)</f>
        <v>0</v>
      </c>
      <c r="O284" s="503"/>
      <c r="P284" s="504">
        <f t="shared" si="9"/>
        <v>0</v>
      </c>
      <c r="Q284" s="504"/>
      <c r="R284" s="504"/>
    </row>
    <row r="285" spans="5:18" x14ac:dyDescent="0.3">
      <c r="E285" s="195" t="str">
        <f>IF(Dades!C875="","",Dades!C875)</f>
        <v/>
      </c>
      <c r="F285" s="397">
        <f>(DSUM('1_Combustibles fósiles'!$E$17:$N$39,"emisiones",'6.2_Resultados España'!E$71:E285)/1000)-SUM(F$72:F284)</f>
        <v>0</v>
      </c>
      <c r="G285" s="397">
        <f>(DSUM('2_Fluorados'!$E$11:$P$33,"emisiones",'6.2_Resultados España'!E$71:E285)/1000)-SUM(G$72:G284)</f>
        <v>0</v>
      </c>
      <c r="H285" s="503">
        <f>(DSUM('3_Emisiones proceso'!$E$13:$L$35,"emisiones",'6.2_Resultados España'!E$71:E285)/1000)-SUM(H$72:H284)</f>
        <v>0</v>
      </c>
      <c r="I285" s="503"/>
      <c r="J285" s="504">
        <f t="shared" si="8"/>
        <v>0</v>
      </c>
      <c r="K285" s="504"/>
      <c r="L285" s="504"/>
      <c r="M285" s="504"/>
      <c r="N285" s="503">
        <f>(DSUM('4.2_Electricidad España'!$E$19:$J$41,"emisiones",'6.2_Resultados España'!E$71:E285)/1000)-SUM(N$72:N284)</f>
        <v>0</v>
      </c>
      <c r="O285" s="503"/>
      <c r="P285" s="504">
        <f t="shared" si="9"/>
        <v>0</v>
      </c>
      <c r="Q285" s="504"/>
      <c r="R285" s="504"/>
    </row>
    <row r="286" spans="5:18" x14ac:dyDescent="0.3">
      <c r="E286" s="195" t="str">
        <f>IF(Dades!C876="","",Dades!C876)</f>
        <v/>
      </c>
      <c r="F286" s="397">
        <f>(DSUM('1_Combustibles fósiles'!$E$17:$N$39,"emisiones",'6.2_Resultados España'!E$71:E286)/1000)-SUM(F$72:F285)</f>
        <v>0</v>
      </c>
      <c r="G286" s="397">
        <f>(DSUM('2_Fluorados'!$E$11:$P$33,"emisiones",'6.2_Resultados España'!E$71:E286)/1000)-SUM(G$72:G285)</f>
        <v>0</v>
      </c>
      <c r="H286" s="503">
        <f>(DSUM('3_Emisiones proceso'!$E$13:$L$35,"emisiones",'6.2_Resultados España'!E$71:E286)/1000)-SUM(H$72:H285)</f>
        <v>0</v>
      </c>
      <c r="I286" s="503"/>
      <c r="J286" s="504">
        <f t="shared" si="8"/>
        <v>0</v>
      </c>
      <c r="K286" s="504"/>
      <c r="L286" s="504"/>
      <c r="M286" s="504"/>
      <c r="N286" s="503">
        <f>(DSUM('4.2_Electricidad España'!$E$19:$J$41,"emisiones",'6.2_Resultados España'!E$71:E286)/1000)-SUM(N$72:N285)</f>
        <v>0</v>
      </c>
      <c r="O286" s="503"/>
      <c r="P286" s="504">
        <f t="shared" si="9"/>
        <v>0</v>
      </c>
      <c r="Q286" s="504"/>
      <c r="R286" s="504"/>
    </row>
    <row r="287" spans="5:18" x14ac:dyDescent="0.3">
      <c r="E287" s="195" t="str">
        <f>IF(Dades!C877="","",Dades!C877)</f>
        <v/>
      </c>
      <c r="F287" s="397">
        <f>(DSUM('1_Combustibles fósiles'!$E$17:$N$39,"emisiones",'6.2_Resultados España'!E$71:E287)/1000)-SUM(F$72:F286)</f>
        <v>0</v>
      </c>
      <c r="G287" s="397">
        <f>(DSUM('2_Fluorados'!$E$11:$P$33,"emisiones",'6.2_Resultados España'!E$71:E287)/1000)-SUM(G$72:G286)</f>
        <v>0</v>
      </c>
      <c r="H287" s="503">
        <f>(DSUM('3_Emisiones proceso'!$E$13:$L$35,"emisiones",'6.2_Resultados España'!E$71:E287)/1000)-SUM(H$72:H286)</f>
        <v>0</v>
      </c>
      <c r="I287" s="503"/>
      <c r="J287" s="504">
        <f t="shared" si="8"/>
        <v>0</v>
      </c>
      <c r="K287" s="504"/>
      <c r="L287" s="504"/>
      <c r="M287" s="504"/>
      <c r="N287" s="503">
        <f>(DSUM('4.2_Electricidad España'!$E$19:$J$41,"emisiones",'6.2_Resultados España'!E$71:E287)/1000)-SUM(N$72:N286)</f>
        <v>0</v>
      </c>
      <c r="O287" s="503"/>
      <c r="P287" s="504">
        <f t="shared" si="9"/>
        <v>0</v>
      </c>
      <c r="Q287" s="504"/>
      <c r="R287" s="504"/>
    </row>
    <row r="288" spans="5:18" x14ac:dyDescent="0.3">
      <c r="E288" s="195" t="str">
        <f>IF(Dades!C878="","",Dades!C878)</f>
        <v/>
      </c>
      <c r="F288" s="397">
        <f>(DSUM('1_Combustibles fósiles'!$E$17:$N$39,"emisiones",'6.2_Resultados España'!E$71:E288)/1000)-SUM(F$72:F287)</f>
        <v>0</v>
      </c>
      <c r="G288" s="397">
        <f>(DSUM('2_Fluorados'!$E$11:$P$33,"emisiones",'6.2_Resultados España'!E$71:E288)/1000)-SUM(G$72:G287)</f>
        <v>0</v>
      </c>
      <c r="H288" s="503">
        <f>(DSUM('3_Emisiones proceso'!$E$13:$L$35,"emisiones",'6.2_Resultados España'!E$71:E288)/1000)-SUM(H$72:H287)</f>
        <v>0</v>
      </c>
      <c r="I288" s="503"/>
      <c r="J288" s="504">
        <f t="shared" si="8"/>
        <v>0</v>
      </c>
      <c r="K288" s="504"/>
      <c r="L288" s="504"/>
      <c r="M288" s="504"/>
      <c r="N288" s="503">
        <f>(DSUM('4.2_Electricidad España'!$E$19:$J$41,"emisiones",'6.2_Resultados España'!E$71:E288)/1000)-SUM(N$72:N287)</f>
        <v>0</v>
      </c>
      <c r="O288" s="503"/>
      <c r="P288" s="504">
        <f t="shared" si="9"/>
        <v>0</v>
      </c>
      <c r="Q288" s="504"/>
      <c r="R288" s="504"/>
    </row>
    <row r="289" spans="5:18" x14ac:dyDescent="0.3">
      <c r="E289" s="195" t="str">
        <f>IF(Dades!C879="","",Dades!C879)</f>
        <v/>
      </c>
      <c r="F289" s="397">
        <f>(DSUM('1_Combustibles fósiles'!$E$17:$N$39,"emisiones",'6.2_Resultados España'!E$71:E289)/1000)-SUM(F$72:F288)</f>
        <v>0</v>
      </c>
      <c r="G289" s="397">
        <f>(DSUM('2_Fluorados'!$E$11:$P$33,"emisiones",'6.2_Resultados España'!E$71:E289)/1000)-SUM(G$72:G288)</f>
        <v>0</v>
      </c>
      <c r="H289" s="503">
        <f>(DSUM('3_Emisiones proceso'!$E$13:$L$35,"emisiones",'6.2_Resultados España'!E$71:E289)/1000)-SUM(H$72:H288)</f>
        <v>0</v>
      </c>
      <c r="I289" s="503"/>
      <c r="J289" s="504">
        <f t="shared" si="8"/>
        <v>0</v>
      </c>
      <c r="K289" s="504"/>
      <c r="L289" s="504"/>
      <c r="M289" s="504"/>
      <c r="N289" s="503">
        <f>(DSUM('4.2_Electricidad España'!$E$19:$J$41,"emisiones",'6.2_Resultados España'!E$71:E289)/1000)-SUM(N$72:N288)</f>
        <v>0</v>
      </c>
      <c r="O289" s="503"/>
      <c r="P289" s="504">
        <f t="shared" si="9"/>
        <v>0</v>
      </c>
      <c r="Q289" s="504"/>
      <c r="R289" s="504"/>
    </row>
    <row r="290" spans="5:18" x14ac:dyDescent="0.3">
      <c r="E290" s="195" t="str">
        <f>IF(Dades!C880="","",Dades!C880)</f>
        <v/>
      </c>
      <c r="F290" s="397">
        <f>(DSUM('1_Combustibles fósiles'!$E$17:$N$39,"emisiones",'6.2_Resultados España'!E$71:E290)/1000)-SUM(F$72:F289)</f>
        <v>0</v>
      </c>
      <c r="G290" s="397">
        <f>(DSUM('2_Fluorados'!$E$11:$P$33,"emisiones",'6.2_Resultados España'!E$71:E290)/1000)-SUM(G$72:G289)</f>
        <v>0</v>
      </c>
      <c r="H290" s="503">
        <f>(DSUM('3_Emisiones proceso'!$E$13:$L$35,"emisiones",'6.2_Resultados España'!E$71:E290)/1000)-SUM(H$72:H289)</f>
        <v>0</v>
      </c>
      <c r="I290" s="503"/>
      <c r="J290" s="504">
        <f t="shared" si="8"/>
        <v>0</v>
      </c>
      <c r="K290" s="504"/>
      <c r="L290" s="504"/>
      <c r="M290" s="504"/>
      <c r="N290" s="503">
        <f>(DSUM('4.2_Electricidad España'!$E$19:$J$41,"emisiones",'6.2_Resultados España'!E$71:E290)/1000)-SUM(N$72:N289)</f>
        <v>0</v>
      </c>
      <c r="O290" s="503"/>
      <c r="P290" s="504">
        <f t="shared" si="9"/>
        <v>0</v>
      </c>
      <c r="Q290" s="504"/>
      <c r="R290" s="504"/>
    </row>
    <row r="291" spans="5:18" x14ac:dyDescent="0.3">
      <c r="E291" s="195" t="str">
        <f>IF(Dades!C881="","",Dades!C881)</f>
        <v/>
      </c>
      <c r="F291" s="397">
        <f>(DSUM('1_Combustibles fósiles'!$E$17:$N$39,"emisiones",'6.2_Resultados España'!E$71:E291)/1000)-SUM(F$72:F290)</f>
        <v>0</v>
      </c>
      <c r="G291" s="397">
        <f>(DSUM('2_Fluorados'!$E$11:$P$33,"emisiones",'6.2_Resultados España'!E$71:E291)/1000)-SUM(G$72:G290)</f>
        <v>0</v>
      </c>
      <c r="H291" s="503">
        <f>(DSUM('3_Emisiones proceso'!$E$13:$L$35,"emisiones",'6.2_Resultados España'!E$71:E291)/1000)-SUM(H$72:H290)</f>
        <v>0</v>
      </c>
      <c r="I291" s="503"/>
      <c r="J291" s="504">
        <f t="shared" si="8"/>
        <v>0</v>
      </c>
      <c r="K291" s="504"/>
      <c r="L291" s="504"/>
      <c r="M291" s="504"/>
      <c r="N291" s="503">
        <f>(DSUM('4.2_Electricidad España'!$E$19:$J$41,"emisiones",'6.2_Resultados España'!E$71:E291)/1000)-SUM(N$72:N290)</f>
        <v>0</v>
      </c>
      <c r="O291" s="503"/>
      <c r="P291" s="504">
        <f t="shared" si="9"/>
        <v>0</v>
      </c>
      <c r="Q291" s="504"/>
      <c r="R291" s="504"/>
    </row>
    <row r="292" spans="5:18" x14ac:dyDescent="0.3">
      <c r="E292" s="195" t="str">
        <f>IF(Dades!C882="","",Dades!C882)</f>
        <v/>
      </c>
      <c r="F292" s="397">
        <f>(DSUM('1_Combustibles fósiles'!$E$17:$N$39,"emisiones",'6.2_Resultados España'!E$71:E292)/1000)-SUM(F$72:F291)</f>
        <v>0</v>
      </c>
      <c r="G292" s="397">
        <f>(DSUM('2_Fluorados'!$E$11:$P$33,"emisiones",'6.2_Resultados España'!E$71:E292)/1000)-SUM(G$72:G291)</f>
        <v>0</v>
      </c>
      <c r="H292" s="503">
        <f>(DSUM('3_Emisiones proceso'!$E$13:$L$35,"emisiones",'6.2_Resultados España'!E$71:E292)/1000)-SUM(H$72:H291)</f>
        <v>0</v>
      </c>
      <c r="I292" s="503"/>
      <c r="J292" s="504">
        <f t="shared" si="8"/>
        <v>0</v>
      </c>
      <c r="K292" s="504"/>
      <c r="L292" s="504"/>
      <c r="M292" s="504"/>
      <c r="N292" s="503">
        <f>(DSUM('4.2_Electricidad España'!$E$19:$J$41,"emisiones",'6.2_Resultados España'!E$71:E292)/1000)-SUM(N$72:N291)</f>
        <v>0</v>
      </c>
      <c r="O292" s="503"/>
      <c r="P292" s="504">
        <f t="shared" si="9"/>
        <v>0</v>
      </c>
      <c r="Q292" s="504"/>
      <c r="R292" s="504"/>
    </row>
    <row r="293" spans="5:18" x14ac:dyDescent="0.3">
      <c r="E293" s="195" t="str">
        <f>IF(Dades!C883="","",Dades!C883)</f>
        <v/>
      </c>
      <c r="F293" s="397">
        <f>(DSUM('1_Combustibles fósiles'!$E$17:$N$39,"emisiones",'6.2_Resultados España'!E$71:E293)/1000)-SUM(F$72:F292)</f>
        <v>0</v>
      </c>
      <c r="G293" s="397">
        <f>(DSUM('2_Fluorados'!$E$11:$P$33,"emisiones",'6.2_Resultados España'!E$71:E293)/1000)-SUM(G$72:G292)</f>
        <v>0</v>
      </c>
      <c r="H293" s="503">
        <f>(DSUM('3_Emisiones proceso'!$E$13:$L$35,"emisiones",'6.2_Resultados España'!E$71:E293)/1000)-SUM(H$72:H292)</f>
        <v>0</v>
      </c>
      <c r="I293" s="503"/>
      <c r="J293" s="504">
        <f t="shared" si="8"/>
        <v>0</v>
      </c>
      <c r="K293" s="504"/>
      <c r="L293" s="504"/>
      <c r="M293" s="504"/>
      <c r="N293" s="503">
        <f>(DSUM('4.2_Electricidad España'!$E$19:$J$41,"emisiones",'6.2_Resultados España'!E$71:E293)/1000)-SUM(N$72:N292)</f>
        <v>0</v>
      </c>
      <c r="O293" s="503"/>
      <c r="P293" s="504">
        <f t="shared" si="9"/>
        <v>0</v>
      </c>
      <c r="Q293" s="504"/>
      <c r="R293" s="504"/>
    </row>
    <row r="294" spans="5:18" x14ac:dyDescent="0.3">
      <c r="E294" s="195" t="str">
        <f>IF(Dades!C884="","",Dades!C884)</f>
        <v/>
      </c>
      <c r="F294" s="397">
        <f>(DSUM('1_Combustibles fósiles'!$E$17:$N$39,"emisiones",'6.2_Resultados España'!E$71:E294)/1000)-SUM(F$72:F293)</f>
        <v>0</v>
      </c>
      <c r="G294" s="397">
        <f>(DSUM('2_Fluorados'!$E$11:$P$33,"emisiones",'6.2_Resultados España'!E$71:E294)/1000)-SUM(G$72:G293)</f>
        <v>0</v>
      </c>
      <c r="H294" s="503">
        <f>(DSUM('3_Emisiones proceso'!$E$13:$L$35,"emisiones",'6.2_Resultados España'!E$71:E294)/1000)-SUM(H$72:H293)</f>
        <v>0</v>
      </c>
      <c r="I294" s="503"/>
      <c r="J294" s="504">
        <f t="shared" si="8"/>
        <v>0</v>
      </c>
      <c r="K294" s="504"/>
      <c r="L294" s="504"/>
      <c r="M294" s="504"/>
      <c r="N294" s="503">
        <f>(DSUM('4.2_Electricidad España'!$E$19:$J$41,"emisiones",'6.2_Resultados España'!E$71:E294)/1000)-SUM(N$72:N293)</f>
        <v>0</v>
      </c>
      <c r="O294" s="503"/>
      <c r="P294" s="504">
        <f t="shared" si="9"/>
        <v>0</v>
      </c>
      <c r="Q294" s="504"/>
      <c r="R294" s="504"/>
    </row>
    <row r="295" spans="5:18" x14ac:dyDescent="0.3">
      <c r="E295" s="195" t="str">
        <f>IF(Dades!C885="","",Dades!C885)</f>
        <v/>
      </c>
      <c r="F295" s="397">
        <f>(DSUM('1_Combustibles fósiles'!$E$17:$N$39,"emisiones",'6.2_Resultados España'!E$71:E295)/1000)-SUM(F$72:F294)</f>
        <v>0</v>
      </c>
      <c r="G295" s="397">
        <f>(DSUM('2_Fluorados'!$E$11:$P$33,"emisiones",'6.2_Resultados España'!E$71:E295)/1000)-SUM(G$72:G294)</f>
        <v>0</v>
      </c>
      <c r="H295" s="503">
        <f>(DSUM('3_Emisiones proceso'!$E$13:$L$35,"emisiones",'6.2_Resultados España'!E$71:E295)/1000)-SUM(H$72:H294)</f>
        <v>0</v>
      </c>
      <c r="I295" s="503"/>
      <c r="J295" s="504">
        <f t="shared" si="8"/>
        <v>0</v>
      </c>
      <c r="K295" s="504"/>
      <c r="L295" s="504"/>
      <c r="M295" s="504"/>
      <c r="N295" s="503">
        <f>(DSUM('4.2_Electricidad España'!$E$19:$J$41,"emisiones",'6.2_Resultados España'!E$71:E295)/1000)-SUM(N$72:N294)</f>
        <v>0</v>
      </c>
      <c r="O295" s="503"/>
      <c r="P295" s="504">
        <f t="shared" si="9"/>
        <v>0</v>
      </c>
      <c r="Q295" s="504"/>
      <c r="R295" s="504"/>
    </row>
    <row r="296" spans="5:18" x14ac:dyDescent="0.3">
      <c r="E296" s="195" t="str">
        <f>IF(Dades!C886="","",Dades!C886)</f>
        <v/>
      </c>
      <c r="F296" s="397">
        <f>(DSUM('1_Combustibles fósiles'!$E$17:$N$39,"emisiones",'6.2_Resultados España'!E$71:E296)/1000)-SUM(F$72:F295)</f>
        <v>0</v>
      </c>
      <c r="G296" s="397">
        <f>(DSUM('2_Fluorados'!$E$11:$P$33,"emisiones",'6.2_Resultados España'!E$71:E296)/1000)-SUM(G$72:G295)</f>
        <v>0</v>
      </c>
      <c r="H296" s="503">
        <f>(DSUM('3_Emisiones proceso'!$E$13:$L$35,"emisiones",'6.2_Resultados España'!E$71:E296)/1000)-SUM(H$72:H295)</f>
        <v>0</v>
      </c>
      <c r="I296" s="503"/>
      <c r="J296" s="504">
        <f t="shared" si="8"/>
        <v>0</v>
      </c>
      <c r="K296" s="504"/>
      <c r="L296" s="504"/>
      <c r="M296" s="504"/>
      <c r="N296" s="503">
        <f>(DSUM('4.2_Electricidad España'!$E$19:$J$41,"emisiones",'6.2_Resultados España'!E$71:E296)/1000)-SUM(N$72:N295)</f>
        <v>0</v>
      </c>
      <c r="O296" s="503"/>
      <c r="P296" s="504">
        <f t="shared" si="9"/>
        <v>0</v>
      </c>
      <c r="Q296" s="504"/>
      <c r="R296" s="504"/>
    </row>
    <row r="297" spans="5:18" x14ac:dyDescent="0.3">
      <c r="E297" s="195" t="str">
        <f>IF(Dades!C887="","",Dades!C887)</f>
        <v/>
      </c>
      <c r="F297" s="397">
        <f>(DSUM('1_Combustibles fósiles'!$E$17:$N$39,"emisiones",'6.2_Resultados España'!E$71:E297)/1000)-SUM(F$72:F296)</f>
        <v>0</v>
      </c>
      <c r="G297" s="397">
        <f>(DSUM('2_Fluorados'!$E$11:$P$33,"emisiones",'6.2_Resultados España'!E$71:E297)/1000)-SUM(G$72:G296)</f>
        <v>0</v>
      </c>
      <c r="H297" s="503">
        <f>(DSUM('3_Emisiones proceso'!$E$13:$L$35,"emisiones",'6.2_Resultados España'!E$71:E297)/1000)-SUM(H$72:H296)</f>
        <v>0</v>
      </c>
      <c r="I297" s="503"/>
      <c r="J297" s="504">
        <f t="shared" si="8"/>
        <v>0</v>
      </c>
      <c r="K297" s="504"/>
      <c r="L297" s="504"/>
      <c r="M297" s="504"/>
      <c r="N297" s="503">
        <f>(DSUM('4.2_Electricidad España'!$E$19:$J$41,"emisiones",'6.2_Resultados España'!E$71:E297)/1000)-SUM(N$72:N296)</f>
        <v>0</v>
      </c>
      <c r="O297" s="503"/>
      <c r="P297" s="504">
        <f t="shared" si="9"/>
        <v>0</v>
      </c>
      <c r="Q297" s="504"/>
      <c r="R297" s="504"/>
    </row>
    <row r="298" spans="5:18" x14ac:dyDescent="0.3">
      <c r="E298" s="195" t="str">
        <f>IF(Dades!C888="","",Dades!C888)</f>
        <v/>
      </c>
      <c r="F298" s="397">
        <f>(DSUM('1_Combustibles fósiles'!$E$17:$N$39,"emisiones",'6.2_Resultados España'!E$71:E298)/1000)-SUM(F$72:F297)</f>
        <v>0</v>
      </c>
      <c r="G298" s="397">
        <f>(DSUM('2_Fluorados'!$E$11:$P$33,"emisiones",'6.2_Resultados España'!E$71:E298)/1000)-SUM(G$72:G297)</f>
        <v>0</v>
      </c>
      <c r="H298" s="503">
        <f>(DSUM('3_Emisiones proceso'!$E$13:$L$35,"emisiones",'6.2_Resultados España'!E$71:E298)/1000)-SUM(H$72:H297)</f>
        <v>0</v>
      </c>
      <c r="I298" s="503"/>
      <c r="J298" s="504">
        <f t="shared" si="8"/>
        <v>0</v>
      </c>
      <c r="K298" s="504"/>
      <c r="L298" s="504"/>
      <c r="M298" s="504"/>
      <c r="N298" s="503">
        <f>(DSUM('4.2_Electricidad España'!$E$19:$J$41,"emisiones",'6.2_Resultados España'!E$71:E298)/1000)-SUM(N$72:N297)</f>
        <v>0</v>
      </c>
      <c r="O298" s="503"/>
      <c r="P298" s="504">
        <f t="shared" si="9"/>
        <v>0</v>
      </c>
      <c r="Q298" s="504"/>
      <c r="R298" s="504"/>
    </row>
    <row r="299" spans="5:18" x14ac:dyDescent="0.3">
      <c r="E299" s="195" t="str">
        <f>IF(Dades!C889="","",Dades!C889)</f>
        <v/>
      </c>
      <c r="F299" s="397">
        <f>(DSUM('1_Combustibles fósiles'!$E$17:$N$39,"emisiones",'6.2_Resultados España'!E$71:E299)/1000)-SUM(F$72:F298)</f>
        <v>0</v>
      </c>
      <c r="G299" s="397">
        <f>(DSUM('2_Fluorados'!$E$11:$P$33,"emisiones",'6.2_Resultados España'!E$71:E299)/1000)-SUM(G$72:G298)</f>
        <v>0</v>
      </c>
      <c r="H299" s="503">
        <f>(DSUM('3_Emisiones proceso'!$E$13:$L$35,"emisiones",'6.2_Resultados España'!E$71:E299)/1000)-SUM(H$72:H298)</f>
        <v>0</v>
      </c>
      <c r="I299" s="503"/>
      <c r="J299" s="504">
        <f t="shared" si="8"/>
        <v>0</v>
      </c>
      <c r="K299" s="504"/>
      <c r="L299" s="504"/>
      <c r="M299" s="504"/>
      <c r="N299" s="503">
        <f>(DSUM('4.2_Electricidad España'!$E$19:$J$41,"emisiones",'6.2_Resultados España'!E$71:E299)/1000)-SUM(N$72:N298)</f>
        <v>0</v>
      </c>
      <c r="O299" s="503"/>
      <c r="P299" s="504">
        <f t="shared" si="9"/>
        <v>0</v>
      </c>
      <c r="Q299" s="504"/>
      <c r="R299" s="504"/>
    </row>
    <row r="300" spans="5:18" x14ac:dyDescent="0.3">
      <c r="E300" s="195" t="str">
        <f>IF(Dades!C890="","",Dades!C890)</f>
        <v/>
      </c>
      <c r="F300" s="397">
        <f>(DSUM('1_Combustibles fósiles'!$E$17:$N$39,"emisiones",'6.2_Resultados España'!E$71:E300)/1000)-SUM(F$72:F299)</f>
        <v>0</v>
      </c>
      <c r="G300" s="397">
        <f>(DSUM('2_Fluorados'!$E$11:$P$33,"emisiones",'6.2_Resultados España'!E$71:E300)/1000)-SUM(G$72:G299)</f>
        <v>0</v>
      </c>
      <c r="H300" s="503">
        <f>(DSUM('3_Emisiones proceso'!$E$13:$L$35,"emisiones",'6.2_Resultados España'!E$71:E300)/1000)-SUM(H$72:H299)</f>
        <v>0</v>
      </c>
      <c r="I300" s="503"/>
      <c r="J300" s="504">
        <f t="shared" si="8"/>
        <v>0</v>
      </c>
      <c r="K300" s="504"/>
      <c r="L300" s="504"/>
      <c r="M300" s="504"/>
      <c r="N300" s="503">
        <f>(DSUM('4.2_Electricidad España'!$E$19:$J$41,"emisiones",'6.2_Resultados España'!E$71:E300)/1000)-SUM(N$72:N299)</f>
        <v>0</v>
      </c>
      <c r="O300" s="503"/>
      <c r="P300" s="504">
        <f t="shared" si="9"/>
        <v>0</v>
      </c>
      <c r="Q300" s="504"/>
      <c r="R300" s="504"/>
    </row>
    <row r="301" spans="5:18" x14ac:dyDescent="0.3">
      <c r="E301" s="195" t="str">
        <f>IF(Dades!C891="","",Dades!C891)</f>
        <v/>
      </c>
      <c r="F301" s="397">
        <f>(DSUM('1_Combustibles fósiles'!$E$17:$N$39,"emisiones",'6.2_Resultados España'!E$71:E301)/1000)-SUM(F$72:F300)</f>
        <v>0</v>
      </c>
      <c r="G301" s="397">
        <f>(DSUM('2_Fluorados'!$E$11:$P$33,"emisiones",'6.2_Resultados España'!E$71:E301)/1000)-SUM(G$72:G300)</f>
        <v>0</v>
      </c>
      <c r="H301" s="503">
        <f>(DSUM('3_Emisiones proceso'!$E$13:$L$35,"emisiones",'6.2_Resultados España'!E$71:E301)/1000)-SUM(H$72:H300)</f>
        <v>0</v>
      </c>
      <c r="I301" s="503"/>
      <c r="J301" s="504">
        <f t="shared" si="8"/>
        <v>0</v>
      </c>
      <c r="K301" s="504"/>
      <c r="L301" s="504"/>
      <c r="M301" s="504"/>
      <c r="N301" s="503">
        <f>(DSUM('4.2_Electricidad España'!$E$19:$J$41,"emisiones",'6.2_Resultados España'!E$71:E301)/1000)-SUM(N$72:N300)</f>
        <v>0</v>
      </c>
      <c r="O301" s="503"/>
      <c r="P301" s="504">
        <f t="shared" si="9"/>
        <v>0</v>
      </c>
      <c r="Q301" s="504"/>
      <c r="R301" s="504"/>
    </row>
    <row r="302" spans="5:18" x14ac:dyDescent="0.3">
      <c r="E302" s="195" t="str">
        <f>IF(Dades!C892="","",Dades!C892)</f>
        <v/>
      </c>
      <c r="F302" s="397">
        <f>(DSUM('1_Combustibles fósiles'!$E$17:$N$39,"emisiones",'6.2_Resultados España'!E$71:E302)/1000)-SUM(F$72:F301)</f>
        <v>0</v>
      </c>
      <c r="G302" s="397">
        <f>(DSUM('2_Fluorados'!$E$11:$P$33,"emisiones",'6.2_Resultados España'!E$71:E302)/1000)-SUM(G$72:G301)</f>
        <v>0</v>
      </c>
      <c r="H302" s="503">
        <f>(DSUM('3_Emisiones proceso'!$E$13:$L$35,"emisiones",'6.2_Resultados España'!E$71:E302)/1000)-SUM(H$72:H301)</f>
        <v>0</v>
      </c>
      <c r="I302" s="503"/>
      <c r="J302" s="504">
        <f t="shared" si="8"/>
        <v>0</v>
      </c>
      <c r="K302" s="504"/>
      <c r="L302" s="504"/>
      <c r="M302" s="504"/>
      <c r="N302" s="503">
        <f>(DSUM('4.2_Electricidad España'!$E$19:$J$41,"emisiones",'6.2_Resultados España'!E$71:E302)/1000)-SUM(N$72:N301)</f>
        <v>0</v>
      </c>
      <c r="O302" s="503"/>
      <c r="P302" s="504">
        <f t="shared" si="9"/>
        <v>0</v>
      </c>
      <c r="Q302" s="504"/>
      <c r="R302" s="504"/>
    </row>
    <row r="303" spans="5:18" x14ac:dyDescent="0.3">
      <c r="E303" s="195" t="str">
        <f>IF(Dades!C893="","",Dades!C893)</f>
        <v/>
      </c>
      <c r="F303" s="397">
        <f>(DSUM('1_Combustibles fósiles'!$E$17:$N$39,"emisiones",'6.2_Resultados España'!E$71:E303)/1000)-SUM(F$72:F302)</f>
        <v>0</v>
      </c>
      <c r="G303" s="397">
        <f>(DSUM('2_Fluorados'!$E$11:$P$33,"emisiones",'6.2_Resultados España'!E$71:E303)/1000)-SUM(G$72:G302)</f>
        <v>0</v>
      </c>
      <c r="H303" s="503">
        <f>(DSUM('3_Emisiones proceso'!$E$13:$L$35,"emisiones",'6.2_Resultados España'!E$71:E303)/1000)-SUM(H$72:H302)</f>
        <v>0</v>
      </c>
      <c r="I303" s="503"/>
      <c r="J303" s="504">
        <f t="shared" si="8"/>
        <v>0</v>
      </c>
      <c r="K303" s="504"/>
      <c r="L303" s="504"/>
      <c r="M303" s="504"/>
      <c r="N303" s="503">
        <f>(DSUM('4.2_Electricidad España'!$E$19:$J$41,"emisiones",'6.2_Resultados España'!E$71:E303)/1000)-SUM(N$72:N302)</f>
        <v>0</v>
      </c>
      <c r="O303" s="503"/>
      <c r="P303" s="504">
        <f t="shared" si="9"/>
        <v>0</v>
      </c>
      <c r="Q303" s="504"/>
      <c r="R303" s="504"/>
    </row>
    <row r="304" spans="5:18" x14ac:dyDescent="0.3">
      <c r="E304" s="195" t="str">
        <f>IF(Dades!C894="","",Dades!C894)</f>
        <v/>
      </c>
      <c r="F304" s="397">
        <f>(DSUM('1_Combustibles fósiles'!$E$17:$N$39,"emisiones",'6.2_Resultados España'!E$71:E304)/1000)-SUM(F$72:F303)</f>
        <v>0</v>
      </c>
      <c r="G304" s="397">
        <f>(DSUM('2_Fluorados'!$E$11:$P$33,"emisiones",'6.2_Resultados España'!E$71:E304)/1000)-SUM(G$72:G303)</f>
        <v>0</v>
      </c>
      <c r="H304" s="503">
        <f>(DSUM('3_Emisiones proceso'!$E$13:$L$35,"emisiones",'6.2_Resultados España'!E$71:E304)/1000)-SUM(H$72:H303)</f>
        <v>0</v>
      </c>
      <c r="I304" s="503"/>
      <c r="J304" s="504">
        <f t="shared" si="8"/>
        <v>0</v>
      </c>
      <c r="K304" s="504"/>
      <c r="L304" s="504"/>
      <c r="M304" s="504"/>
      <c r="N304" s="503">
        <f>(DSUM('4.2_Electricidad España'!$E$19:$J$41,"emisiones",'6.2_Resultados España'!E$71:E304)/1000)-SUM(N$72:N303)</f>
        <v>0</v>
      </c>
      <c r="O304" s="503"/>
      <c r="P304" s="504">
        <f t="shared" si="9"/>
        <v>0</v>
      </c>
      <c r="Q304" s="504"/>
      <c r="R304" s="504"/>
    </row>
    <row r="305" spans="5:18" x14ac:dyDescent="0.3">
      <c r="E305" s="195" t="str">
        <f>IF(Dades!C895="","",Dades!C895)</f>
        <v/>
      </c>
      <c r="F305" s="397">
        <f>(DSUM('1_Combustibles fósiles'!$E$17:$N$39,"emisiones",'6.2_Resultados España'!E$71:E305)/1000)-SUM(F$72:F304)</f>
        <v>0</v>
      </c>
      <c r="G305" s="397">
        <f>(DSUM('2_Fluorados'!$E$11:$P$33,"emisiones",'6.2_Resultados España'!E$71:E305)/1000)-SUM(G$72:G304)</f>
        <v>0</v>
      </c>
      <c r="H305" s="503">
        <f>(DSUM('3_Emisiones proceso'!$E$13:$L$35,"emisiones",'6.2_Resultados España'!E$71:E305)/1000)-SUM(H$72:H304)</f>
        <v>0</v>
      </c>
      <c r="I305" s="503"/>
      <c r="J305" s="504">
        <f t="shared" si="8"/>
        <v>0</v>
      </c>
      <c r="K305" s="504"/>
      <c r="L305" s="504"/>
      <c r="M305" s="504"/>
      <c r="N305" s="503">
        <f>(DSUM('4.2_Electricidad España'!$E$19:$J$41,"emisiones",'6.2_Resultados España'!E$71:E305)/1000)-SUM(N$72:N304)</f>
        <v>0</v>
      </c>
      <c r="O305" s="503"/>
      <c r="P305" s="504">
        <f t="shared" si="9"/>
        <v>0</v>
      </c>
      <c r="Q305" s="504"/>
      <c r="R305" s="504"/>
    </row>
    <row r="306" spans="5:18" x14ac:dyDescent="0.3">
      <c r="E306" s="195" t="str">
        <f>IF(Dades!C896="","",Dades!C896)</f>
        <v/>
      </c>
      <c r="F306" s="397">
        <f>(DSUM('1_Combustibles fósiles'!$E$17:$N$39,"emisiones",'6.2_Resultados España'!E$71:E306)/1000)-SUM(F$72:F305)</f>
        <v>0</v>
      </c>
      <c r="G306" s="397">
        <f>(DSUM('2_Fluorados'!$E$11:$P$33,"emisiones",'6.2_Resultados España'!E$71:E306)/1000)-SUM(G$72:G305)</f>
        <v>0</v>
      </c>
      <c r="H306" s="503">
        <f>(DSUM('3_Emisiones proceso'!$E$13:$L$35,"emisiones",'6.2_Resultados España'!E$71:E306)/1000)-SUM(H$72:H305)</f>
        <v>0</v>
      </c>
      <c r="I306" s="503"/>
      <c r="J306" s="504">
        <f t="shared" si="8"/>
        <v>0</v>
      </c>
      <c r="K306" s="504"/>
      <c r="L306" s="504"/>
      <c r="M306" s="504"/>
      <c r="N306" s="503">
        <f>(DSUM('4.2_Electricidad España'!$E$19:$J$41,"emisiones",'6.2_Resultados España'!E$71:E306)/1000)-SUM(N$72:N305)</f>
        <v>0</v>
      </c>
      <c r="O306" s="503"/>
      <c r="P306" s="504">
        <f t="shared" si="9"/>
        <v>0</v>
      </c>
      <c r="Q306" s="504"/>
      <c r="R306" s="504"/>
    </row>
    <row r="307" spans="5:18" x14ac:dyDescent="0.3">
      <c r="E307" s="195" t="str">
        <f>IF(Dades!C897="","",Dades!C897)</f>
        <v/>
      </c>
      <c r="F307" s="397">
        <f>(DSUM('1_Combustibles fósiles'!$E$17:$N$39,"emisiones",'6.2_Resultados España'!E$71:E307)/1000)-SUM(F$72:F306)</f>
        <v>0</v>
      </c>
      <c r="G307" s="397">
        <f>(DSUM('2_Fluorados'!$E$11:$P$33,"emisiones",'6.2_Resultados España'!E$71:E307)/1000)-SUM(G$72:G306)</f>
        <v>0</v>
      </c>
      <c r="H307" s="503">
        <f>(DSUM('3_Emisiones proceso'!$E$13:$L$35,"emisiones",'6.2_Resultados España'!E$71:E307)/1000)-SUM(H$72:H306)</f>
        <v>0</v>
      </c>
      <c r="I307" s="503"/>
      <c r="J307" s="504">
        <f t="shared" si="8"/>
        <v>0</v>
      </c>
      <c r="K307" s="504"/>
      <c r="L307" s="504"/>
      <c r="M307" s="504"/>
      <c r="N307" s="503">
        <f>(DSUM('4.2_Electricidad España'!$E$19:$J$41,"emisiones",'6.2_Resultados España'!E$71:E307)/1000)-SUM(N$72:N306)</f>
        <v>0</v>
      </c>
      <c r="O307" s="503"/>
      <c r="P307" s="504">
        <f t="shared" si="9"/>
        <v>0</v>
      </c>
      <c r="Q307" s="504"/>
      <c r="R307" s="504"/>
    </row>
    <row r="308" spans="5:18" x14ac:dyDescent="0.3">
      <c r="E308" s="195" t="str">
        <f>IF(Dades!C898="","",Dades!C898)</f>
        <v/>
      </c>
      <c r="F308" s="397">
        <f>(DSUM('1_Combustibles fósiles'!$E$17:$N$39,"emisiones",'6.2_Resultados España'!E$71:E308)/1000)-SUM(F$72:F307)</f>
        <v>0</v>
      </c>
      <c r="G308" s="397">
        <f>(DSUM('2_Fluorados'!$E$11:$P$33,"emisiones",'6.2_Resultados España'!E$71:E308)/1000)-SUM(G$72:G307)</f>
        <v>0</v>
      </c>
      <c r="H308" s="503">
        <f>(DSUM('3_Emisiones proceso'!$E$13:$L$35,"emisiones",'6.2_Resultados España'!E$71:E308)/1000)-SUM(H$72:H307)</f>
        <v>0</v>
      </c>
      <c r="I308" s="503"/>
      <c r="J308" s="504">
        <f t="shared" si="8"/>
        <v>0</v>
      </c>
      <c r="K308" s="504"/>
      <c r="L308" s="504"/>
      <c r="M308" s="504"/>
      <c r="N308" s="503">
        <f>(DSUM('4.2_Electricidad España'!$E$19:$J$41,"emisiones",'6.2_Resultados España'!E$71:E308)/1000)-SUM(N$72:N307)</f>
        <v>0</v>
      </c>
      <c r="O308" s="503"/>
      <c r="P308" s="504">
        <f t="shared" si="9"/>
        <v>0</v>
      </c>
      <c r="Q308" s="504"/>
      <c r="R308" s="504"/>
    </row>
    <row r="309" spans="5:18" x14ac:dyDescent="0.3">
      <c r="E309" s="195" t="str">
        <f>IF(Dades!C899="","",Dades!C899)</f>
        <v/>
      </c>
      <c r="F309" s="397">
        <f>(DSUM('1_Combustibles fósiles'!$E$17:$N$39,"emisiones",'6.2_Resultados España'!E$71:E309)/1000)-SUM(F$72:F308)</f>
        <v>0</v>
      </c>
      <c r="G309" s="397">
        <f>(DSUM('2_Fluorados'!$E$11:$P$33,"emisiones",'6.2_Resultados España'!E$71:E309)/1000)-SUM(G$72:G308)</f>
        <v>0</v>
      </c>
      <c r="H309" s="503">
        <f>(DSUM('3_Emisiones proceso'!$E$13:$L$35,"emisiones",'6.2_Resultados España'!E$71:E309)/1000)-SUM(H$72:H308)</f>
        <v>0</v>
      </c>
      <c r="I309" s="503"/>
      <c r="J309" s="504">
        <f t="shared" si="8"/>
        <v>0</v>
      </c>
      <c r="K309" s="504"/>
      <c r="L309" s="504"/>
      <c r="M309" s="504"/>
      <c r="N309" s="503">
        <f>(DSUM('4.2_Electricidad España'!$E$19:$J$41,"emisiones",'6.2_Resultados España'!E$71:E309)/1000)-SUM(N$72:N308)</f>
        <v>0</v>
      </c>
      <c r="O309" s="503"/>
      <c r="P309" s="504">
        <f t="shared" si="9"/>
        <v>0</v>
      </c>
      <c r="Q309" s="504"/>
      <c r="R309" s="504"/>
    </row>
    <row r="310" spans="5:18" x14ac:dyDescent="0.3">
      <c r="E310" s="195" t="str">
        <f>IF(Dades!C900="","",Dades!C900)</f>
        <v/>
      </c>
      <c r="F310" s="397">
        <f>(DSUM('1_Combustibles fósiles'!$E$17:$N$39,"emisiones",'6.2_Resultados España'!E$71:E310)/1000)-SUM(F$72:F309)</f>
        <v>0</v>
      </c>
      <c r="G310" s="397">
        <f>(DSUM('2_Fluorados'!$E$11:$P$33,"emisiones",'6.2_Resultados España'!E$71:E310)/1000)-SUM(G$72:G309)</f>
        <v>0</v>
      </c>
      <c r="H310" s="503">
        <f>(DSUM('3_Emisiones proceso'!$E$13:$L$35,"emisiones",'6.2_Resultados España'!E$71:E310)/1000)-SUM(H$72:H309)</f>
        <v>0</v>
      </c>
      <c r="I310" s="503"/>
      <c r="J310" s="504">
        <f t="shared" si="8"/>
        <v>0</v>
      </c>
      <c r="K310" s="504"/>
      <c r="L310" s="504"/>
      <c r="M310" s="504"/>
      <c r="N310" s="503">
        <f>(DSUM('4.2_Electricidad España'!$E$19:$J$41,"emisiones",'6.2_Resultados España'!E$71:E310)/1000)-SUM(N$72:N309)</f>
        <v>0</v>
      </c>
      <c r="O310" s="503"/>
      <c r="P310" s="504">
        <f t="shared" si="9"/>
        <v>0</v>
      </c>
      <c r="Q310" s="504"/>
      <c r="R310" s="504"/>
    </row>
    <row r="311" spans="5:18" x14ac:dyDescent="0.3">
      <c r="E311" s="195" t="str">
        <f>IF(Dades!C901="","",Dades!C901)</f>
        <v/>
      </c>
      <c r="F311" s="397">
        <f>(DSUM('1_Combustibles fósiles'!$E$17:$N$39,"emisiones",'6.2_Resultados España'!E$71:E311)/1000)-SUM(F$72:F310)</f>
        <v>0</v>
      </c>
      <c r="G311" s="397">
        <f>(DSUM('2_Fluorados'!$E$11:$P$33,"emisiones",'6.2_Resultados España'!E$71:E311)/1000)-SUM(G$72:G310)</f>
        <v>0</v>
      </c>
      <c r="H311" s="503">
        <f>(DSUM('3_Emisiones proceso'!$E$13:$L$35,"emisiones",'6.2_Resultados España'!E$71:E311)/1000)-SUM(H$72:H310)</f>
        <v>0</v>
      </c>
      <c r="I311" s="503"/>
      <c r="J311" s="504">
        <f t="shared" si="8"/>
        <v>0</v>
      </c>
      <c r="K311" s="504"/>
      <c r="L311" s="504"/>
      <c r="M311" s="504"/>
      <c r="N311" s="503">
        <f>(DSUM('4.2_Electricidad España'!$E$19:$J$41,"emisiones",'6.2_Resultados España'!E$71:E311)/1000)-SUM(N$72:N310)</f>
        <v>0</v>
      </c>
      <c r="O311" s="503"/>
      <c r="P311" s="504">
        <f t="shared" si="9"/>
        <v>0</v>
      </c>
      <c r="Q311" s="504"/>
      <c r="R311" s="504"/>
    </row>
    <row r="312" spans="5:18" x14ac:dyDescent="0.3">
      <c r="E312" s="195" t="str">
        <f>IF(Dades!C902="","",Dades!C902)</f>
        <v/>
      </c>
      <c r="F312" s="397">
        <f>(DSUM('1_Combustibles fósiles'!$E$17:$N$39,"emisiones",'6.2_Resultados España'!E$71:E312)/1000)-SUM(F$72:F311)</f>
        <v>0</v>
      </c>
      <c r="G312" s="397">
        <f>(DSUM('2_Fluorados'!$E$11:$P$33,"emisiones",'6.2_Resultados España'!E$71:E312)/1000)-SUM(G$72:G311)</f>
        <v>0</v>
      </c>
      <c r="H312" s="503">
        <f>(DSUM('3_Emisiones proceso'!$E$13:$L$35,"emisiones",'6.2_Resultados España'!E$71:E312)/1000)-SUM(H$72:H311)</f>
        <v>0</v>
      </c>
      <c r="I312" s="503"/>
      <c r="J312" s="504">
        <f t="shared" si="8"/>
        <v>0</v>
      </c>
      <c r="K312" s="504"/>
      <c r="L312" s="504"/>
      <c r="M312" s="504"/>
      <c r="N312" s="503">
        <f>(DSUM('4.2_Electricidad España'!$E$19:$J$41,"emisiones",'6.2_Resultados España'!E$71:E312)/1000)-SUM(N$72:N311)</f>
        <v>0</v>
      </c>
      <c r="O312" s="503"/>
      <c r="P312" s="504">
        <f t="shared" si="9"/>
        <v>0</v>
      </c>
      <c r="Q312" s="504"/>
      <c r="R312" s="504"/>
    </row>
    <row r="313" spans="5:18" x14ac:dyDescent="0.3">
      <c r="E313" s="195" t="str">
        <f>IF(Dades!C903="","",Dades!C903)</f>
        <v/>
      </c>
      <c r="F313" s="397">
        <f>(DSUM('1_Combustibles fósiles'!$E$17:$N$39,"emisiones",'6.2_Resultados España'!E$71:E313)/1000)-SUM(F$72:F312)</f>
        <v>0</v>
      </c>
      <c r="G313" s="397">
        <f>(DSUM('2_Fluorados'!$E$11:$P$33,"emisiones",'6.2_Resultados España'!E$71:E313)/1000)-SUM(G$72:G312)</f>
        <v>0</v>
      </c>
      <c r="H313" s="503">
        <f>(DSUM('3_Emisiones proceso'!$E$13:$L$35,"emisiones",'6.2_Resultados España'!E$71:E313)/1000)-SUM(H$72:H312)</f>
        <v>0</v>
      </c>
      <c r="I313" s="503"/>
      <c r="J313" s="504">
        <f t="shared" si="8"/>
        <v>0</v>
      </c>
      <c r="K313" s="504"/>
      <c r="L313" s="504"/>
      <c r="M313" s="504"/>
      <c r="N313" s="503">
        <f>(DSUM('4.2_Electricidad España'!$E$19:$J$41,"emisiones",'6.2_Resultados España'!E$71:E313)/1000)-SUM(N$72:N312)</f>
        <v>0</v>
      </c>
      <c r="O313" s="503"/>
      <c r="P313" s="504">
        <f t="shared" si="9"/>
        <v>0</v>
      </c>
      <c r="Q313" s="504"/>
      <c r="R313" s="504"/>
    </row>
    <row r="314" spans="5:18" x14ac:dyDescent="0.3">
      <c r="E314" s="195" t="str">
        <f>IF(Dades!C904="","",Dades!C904)</f>
        <v/>
      </c>
      <c r="F314" s="397">
        <f>(DSUM('1_Combustibles fósiles'!$E$17:$N$39,"emisiones",'6.2_Resultados España'!E$71:E314)/1000)-SUM(F$72:F313)</f>
        <v>0</v>
      </c>
      <c r="G314" s="397">
        <f>(DSUM('2_Fluorados'!$E$11:$P$33,"emisiones",'6.2_Resultados España'!E$71:E314)/1000)-SUM(G$72:G313)</f>
        <v>0</v>
      </c>
      <c r="H314" s="503">
        <f>(DSUM('3_Emisiones proceso'!$E$13:$L$35,"emisiones",'6.2_Resultados España'!E$71:E314)/1000)-SUM(H$72:H313)</f>
        <v>0</v>
      </c>
      <c r="I314" s="503"/>
      <c r="J314" s="504">
        <f t="shared" si="8"/>
        <v>0</v>
      </c>
      <c r="K314" s="504"/>
      <c r="L314" s="504"/>
      <c r="M314" s="504"/>
      <c r="N314" s="503">
        <f>(DSUM('4.2_Electricidad España'!$E$19:$J$41,"emisiones",'6.2_Resultados España'!E$71:E314)/1000)-SUM(N$72:N313)</f>
        <v>0</v>
      </c>
      <c r="O314" s="503"/>
      <c r="P314" s="504">
        <f t="shared" si="9"/>
        <v>0</v>
      </c>
      <c r="Q314" s="504"/>
      <c r="R314" s="504"/>
    </row>
    <row r="315" spans="5:18" x14ac:dyDescent="0.3">
      <c r="E315" s="195" t="str">
        <f>IF(Dades!C905="","",Dades!C905)</f>
        <v/>
      </c>
      <c r="F315" s="397">
        <f>(DSUM('1_Combustibles fósiles'!$E$17:$N$39,"emisiones",'6.2_Resultados España'!E$71:E315)/1000)-SUM(F$72:F314)</f>
        <v>0</v>
      </c>
      <c r="G315" s="397">
        <f>(DSUM('2_Fluorados'!$E$11:$P$33,"emisiones",'6.2_Resultados España'!E$71:E315)/1000)-SUM(G$72:G314)</f>
        <v>0</v>
      </c>
      <c r="H315" s="503">
        <f>(DSUM('3_Emisiones proceso'!$E$13:$L$35,"emisiones",'6.2_Resultados España'!E$71:E315)/1000)-SUM(H$72:H314)</f>
        <v>0</v>
      </c>
      <c r="I315" s="503"/>
      <c r="J315" s="504">
        <f t="shared" si="8"/>
        <v>0</v>
      </c>
      <c r="K315" s="504"/>
      <c r="L315" s="504"/>
      <c r="M315" s="504"/>
      <c r="N315" s="503">
        <f>(DSUM('4.2_Electricidad España'!$E$19:$J$41,"emisiones",'6.2_Resultados España'!E$71:E315)/1000)-SUM(N$72:N314)</f>
        <v>0</v>
      </c>
      <c r="O315" s="503"/>
      <c r="P315" s="504">
        <f t="shared" si="9"/>
        <v>0</v>
      </c>
      <c r="Q315" s="504"/>
      <c r="R315" s="504"/>
    </row>
    <row r="316" spans="5:18" x14ac:dyDescent="0.3">
      <c r="E316" s="195" t="str">
        <f>IF(Dades!C906="","",Dades!C906)</f>
        <v/>
      </c>
      <c r="F316" s="397">
        <f>(DSUM('1_Combustibles fósiles'!$E$17:$N$39,"emisiones",'6.2_Resultados España'!E$71:E316)/1000)-SUM(F$72:F315)</f>
        <v>0</v>
      </c>
      <c r="G316" s="397">
        <f>(DSUM('2_Fluorados'!$E$11:$P$33,"emisiones",'6.2_Resultados España'!E$71:E316)/1000)-SUM(G$72:G315)</f>
        <v>0</v>
      </c>
      <c r="H316" s="503">
        <f>(DSUM('3_Emisiones proceso'!$E$13:$L$35,"emisiones",'6.2_Resultados España'!E$71:E316)/1000)-SUM(H$72:H315)</f>
        <v>0</v>
      </c>
      <c r="I316" s="503"/>
      <c r="J316" s="504">
        <f t="shared" si="8"/>
        <v>0</v>
      </c>
      <c r="K316" s="504"/>
      <c r="L316" s="504"/>
      <c r="M316" s="504"/>
      <c r="N316" s="503">
        <f>(DSUM('4.2_Electricidad España'!$E$19:$J$41,"emisiones",'6.2_Resultados España'!E$71:E316)/1000)-SUM(N$72:N315)</f>
        <v>0</v>
      </c>
      <c r="O316" s="503"/>
      <c r="P316" s="504">
        <f t="shared" si="9"/>
        <v>0</v>
      </c>
      <c r="Q316" s="504"/>
      <c r="R316" s="504"/>
    </row>
    <row r="317" spans="5:18" x14ac:dyDescent="0.3">
      <c r="E317" s="195" t="str">
        <f>IF(Dades!C907="","",Dades!C907)</f>
        <v/>
      </c>
      <c r="F317" s="397">
        <f>(DSUM('1_Combustibles fósiles'!$E$17:$N$39,"emisiones",'6.2_Resultados España'!E$71:E317)/1000)-SUM(F$72:F316)</f>
        <v>0</v>
      </c>
      <c r="G317" s="397">
        <f>(DSUM('2_Fluorados'!$E$11:$P$33,"emisiones",'6.2_Resultados España'!E$71:E317)/1000)-SUM(G$72:G316)</f>
        <v>0</v>
      </c>
      <c r="H317" s="503">
        <f>(DSUM('3_Emisiones proceso'!$E$13:$L$35,"emisiones",'6.2_Resultados España'!E$71:E317)/1000)-SUM(H$72:H316)</f>
        <v>0</v>
      </c>
      <c r="I317" s="503"/>
      <c r="J317" s="504">
        <f t="shared" si="8"/>
        <v>0</v>
      </c>
      <c r="K317" s="504"/>
      <c r="L317" s="504"/>
      <c r="M317" s="504"/>
      <c r="N317" s="503">
        <f>(DSUM('4.2_Electricidad España'!$E$19:$J$41,"emisiones",'6.2_Resultados España'!E$71:E317)/1000)-SUM(N$72:N316)</f>
        <v>0</v>
      </c>
      <c r="O317" s="503"/>
      <c r="P317" s="504">
        <f t="shared" si="9"/>
        <v>0</v>
      </c>
      <c r="Q317" s="504"/>
      <c r="R317" s="504"/>
    </row>
    <row r="318" spans="5:18" x14ac:dyDescent="0.3">
      <c r="E318" s="195" t="str">
        <f>IF(Dades!C908="","",Dades!C908)</f>
        <v/>
      </c>
      <c r="F318" s="397">
        <f>(DSUM('1_Combustibles fósiles'!$E$17:$N$39,"emisiones",'6.2_Resultados España'!E$71:E318)/1000)-SUM(F$72:F317)</f>
        <v>0</v>
      </c>
      <c r="G318" s="397">
        <f>(DSUM('2_Fluorados'!$E$11:$P$33,"emisiones",'6.2_Resultados España'!E$71:E318)/1000)-SUM(G$72:G317)</f>
        <v>0</v>
      </c>
      <c r="H318" s="503">
        <f>(DSUM('3_Emisiones proceso'!$E$13:$L$35,"emisiones",'6.2_Resultados España'!E$71:E318)/1000)-SUM(H$72:H317)</f>
        <v>0</v>
      </c>
      <c r="I318" s="503"/>
      <c r="J318" s="504">
        <f t="shared" si="8"/>
        <v>0</v>
      </c>
      <c r="K318" s="504"/>
      <c r="L318" s="504"/>
      <c r="M318" s="504"/>
      <c r="N318" s="503">
        <f>(DSUM('4.2_Electricidad España'!$E$19:$J$41,"emisiones",'6.2_Resultados España'!E$71:E318)/1000)-SUM(N$72:N317)</f>
        <v>0</v>
      </c>
      <c r="O318" s="503"/>
      <c r="P318" s="504">
        <f t="shared" si="9"/>
        <v>0</v>
      </c>
      <c r="Q318" s="504"/>
      <c r="R318" s="504"/>
    </row>
    <row r="319" spans="5:18" x14ac:dyDescent="0.3">
      <c r="E319" s="195" t="str">
        <f>IF(Dades!C909="","",Dades!C909)</f>
        <v/>
      </c>
      <c r="F319" s="397">
        <f>(DSUM('1_Combustibles fósiles'!$E$17:$N$39,"emisiones",'6.2_Resultados España'!E$71:E319)/1000)-SUM(F$72:F318)</f>
        <v>0</v>
      </c>
      <c r="G319" s="397">
        <f>(DSUM('2_Fluorados'!$E$11:$P$33,"emisiones",'6.2_Resultados España'!E$71:E319)/1000)-SUM(G$72:G318)</f>
        <v>0</v>
      </c>
      <c r="H319" s="503">
        <f>(DSUM('3_Emisiones proceso'!$E$13:$L$35,"emisiones",'6.2_Resultados España'!E$71:E319)/1000)-SUM(H$72:H318)</f>
        <v>0</v>
      </c>
      <c r="I319" s="503"/>
      <c r="J319" s="504">
        <f t="shared" si="8"/>
        <v>0</v>
      </c>
      <c r="K319" s="504"/>
      <c r="L319" s="504"/>
      <c r="M319" s="504"/>
      <c r="N319" s="503">
        <f>(DSUM('4.2_Electricidad España'!$E$19:$J$41,"emisiones",'6.2_Resultados España'!E$71:E319)/1000)-SUM(N$72:N318)</f>
        <v>0</v>
      </c>
      <c r="O319" s="503"/>
      <c r="P319" s="504">
        <f t="shared" si="9"/>
        <v>0</v>
      </c>
      <c r="Q319" s="504"/>
      <c r="R319" s="504"/>
    </row>
    <row r="320" spans="5:18" x14ac:dyDescent="0.3">
      <c r="E320" s="195" t="str">
        <f>IF(Dades!C910="","",Dades!C910)</f>
        <v/>
      </c>
      <c r="F320" s="397">
        <f>(DSUM('1_Combustibles fósiles'!$E$17:$N$39,"emisiones",'6.2_Resultados España'!E$71:E320)/1000)-SUM(F$72:F319)</f>
        <v>0</v>
      </c>
      <c r="G320" s="397">
        <f>(DSUM('2_Fluorados'!$E$11:$P$33,"emisiones",'6.2_Resultados España'!E$71:E320)/1000)-SUM(G$72:G319)</f>
        <v>0</v>
      </c>
      <c r="H320" s="503">
        <f>(DSUM('3_Emisiones proceso'!$E$13:$L$35,"emisiones",'6.2_Resultados España'!E$71:E320)/1000)-SUM(H$72:H319)</f>
        <v>0</v>
      </c>
      <c r="I320" s="503"/>
      <c r="J320" s="504">
        <f t="shared" si="8"/>
        <v>0</v>
      </c>
      <c r="K320" s="504"/>
      <c r="L320" s="504"/>
      <c r="M320" s="504"/>
      <c r="N320" s="503">
        <f>(DSUM('4.2_Electricidad España'!$E$19:$J$41,"emisiones",'6.2_Resultados España'!E$71:E320)/1000)-SUM(N$72:N319)</f>
        <v>0</v>
      </c>
      <c r="O320" s="503"/>
      <c r="P320" s="504">
        <f t="shared" si="9"/>
        <v>0</v>
      </c>
      <c r="Q320" s="504"/>
      <c r="R320" s="504"/>
    </row>
    <row r="321" spans="1:18" x14ac:dyDescent="0.3">
      <c r="A321" s="13">
        <v>250</v>
      </c>
      <c r="E321" s="195" t="str">
        <f>IF(Dades!C911="","",Dades!C911)</f>
        <v/>
      </c>
      <c r="F321" s="397">
        <f>(DSUM('1_Combustibles fósiles'!$E$17:$N$39,"emisiones",'6.2_Resultados España'!E$71:E321)/1000)-SUM(F$72:F320)</f>
        <v>0</v>
      </c>
      <c r="G321" s="397">
        <f>(DSUM('2_Fluorados'!$E$11:$P$33,"emisiones",'6.2_Resultados España'!E$71:E321)/1000)-SUM(G$72:G320)</f>
        <v>0</v>
      </c>
      <c r="H321" s="503">
        <f>(DSUM('3_Emisiones proceso'!$E$13:$L$35,"emisiones",'6.2_Resultados España'!E$71:E321)/1000)-SUM(H$72:H320)</f>
        <v>0</v>
      </c>
      <c r="I321" s="503"/>
      <c r="J321" s="504">
        <f t="shared" si="8"/>
        <v>0</v>
      </c>
      <c r="K321" s="504"/>
      <c r="L321" s="504"/>
      <c r="M321" s="504"/>
      <c r="N321" s="503">
        <f>(DSUM('4.2_Electricidad España'!$E$19:$J$41,"emisiones",'6.2_Resultados España'!E$71:E321)/1000)-SUM(N$72:N320)</f>
        <v>0</v>
      </c>
      <c r="O321" s="503"/>
      <c r="P321" s="504">
        <f t="shared" si="9"/>
        <v>0</v>
      </c>
      <c r="Q321" s="504"/>
      <c r="R321" s="504"/>
    </row>
  </sheetData>
  <sheetProtection sheet="1" objects="1" scenarios="1"/>
  <mergeCells count="1057">
    <mergeCell ref="J25:K25"/>
    <mergeCell ref="A10:A11"/>
    <mergeCell ref="E11:M12"/>
    <mergeCell ref="A12:A13"/>
    <mergeCell ref="E14:F14"/>
    <mergeCell ref="E16:G16"/>
    <mergeCell ref="H16:I16"/>
    <mergeCell ref="J16:K16"/>
    <mergeCell ref="A17:A18"/>
    <mergeCell ref="E17:G17"/>
    <mergeCell ref="H17:I17"/>
    <mergeCell ref="J17:K17"/>
    <mergeCell ref="C1:U1"/>
    <mergeCell ref="E3:F3"/>
    <mergeCell ref="G3:S3"/>
    <mergeCell ref="A4:A5"/>
    <mergeCell ref="E5:F6"/>
    <mergeCell ref="G5:S6"/>
    <mergeCell ref="A6:A7"/>
    <mergeCell ref="A8:A9"/>
    <mergeCell ref="D8:U9"/>
    <mergeCell ref="E27:G27"/>
    <mergeCell ref="H27:I27"/>
    <mergeCell ref="J27:K27"/>
    <mergeCell ref="F29:G29"/>
    <mergeCell ref="H29:I29"/>
    <mergeCell ref="J29:K29"/>
    <mergeCell ref="E31:G31"/>
    <mergeCell ref="H31:I31"/>
    <mergeCell ref="J31:K31"/>
    <mergeCell ref="H71:I71"/>
    <mergeCell ref="J71:M71"/>
    <mergeCell ref="N71:O71"/>
    <mergeCell ref="P71:R71"/>
    <mergeCell ref="H72:I72"/>
    <mergeCell ref="J72:M72"/>
    <mergeCell ref="P72:R72"/>
    <mergeCell ref="E19:G19"/>
    <mergeCell ref="H19:I19"/>
    <mergeCell ref="J19:K19"/>
    <mergeCell ref="E21:L21"/>
    <mergeCell ref="E23:E26"/>
    <mergeCell ref="F23:G23"/>
    <mergeCell ref="H23:I23"/>
    <mergeCell ref="J23:K23"/>
    <mergeCell ref="F24:G24"/>
    <mergeCell ref="H24:I24"/>
    <mergeCell ref="J24:K24"/>
    <mergeCell ref="F26:G26"/>
    <mergeCell ref="H26:I26"/>
    <mergeCell ref="J26:K26"/>
    <mergeCell ref="F25:G25"/>
    <mergeCell ref="H25:I25"/>
    <mergeCell ref="H84:I84"/>
    <mergeCell ref="J84:M84"/>
    <mergeCell ref="P84:R84"/>
    <mergeCell ref="H85:I85"/>
    <mergeCell ref="N72:O72"/>
    <mergeCell ref="N73:O73"/>
    <mergeCell ref="N74:O74"/>
    <mergeCell ref="N76:O76"/>
    <mergeCell ref="N78:O78"/>
    <mergeCell ref="H74:I74"/>
    <mergeCell ref="J74:M74"/>
    <mergeCell ref="H78:I78"/>
    <mergeCell ref="J78:M78"/>
    <mergeCell ref="E32:K32"/>
    <mergeCell ref="D34:U34"/>
    <mergeCell ref="E38:E40"/>
    <mergeCell ref="O65:O66"/>
    <mergeCell ref="P65:P66"/>
    <mergeCell ref="Q65:Q66"/>
    <mergeCell ref="D68:U68"/>
    <mergeCell ref="H73:I73"/>
    <mergeCell ref="J73:M73"/>
    <mergeCell ref="P73:R73"/>
    <mergeCell ref="P78:R78"/>
    <mergeCell ref="H79:I79"/>
    <mergeCell ref="J79:M79"/>
    <mergeCell ref="N79:O79"/>
    <mergeCell ref="P79:R79"/>
    <mergeCell ref="H80:I80"/>
    <mergeCell ref="J80:M80"/>
    <mergeCell ref="N80:O80"/>
    <mergeCell ref="P80:R80"/>
    <mergeCell ref="P101:R101"/>
    <mergeCell ref="H102:I102"/>
    <mergeCell ref="J102:M102"/>
    <mergeCell ref="P102:R102"/>
    <mergeCell ref="H103:I103"/>
    <mergeCell ref="J103:M103"/>
    <mergeCell ref="P103:R103"/>
    <mergeCell ref="H104:I104"/>
    <mergeCell ref="J104:M104"/>
    <mergeCell ref="P104:R104"/>
    <mergeCell ref="J90:M90"/>
    <mergeCell ref="N90:O90"/>
    <mergeCell ref="P90:R90"/>
    <mergeCell ref="H91:I91"/>
    <mergeCell ref="J91:M91"/>
    <mergeCell ref="N91:O91"/>
    <mergeCell ref="H93:I93"/>
    <mergeCell ref="J93:M93"/>
    <mergeCell ref="P93:R93"/>
    <mergeCell ref="H94:I94"/>
    <mergeCell ref="J94:M94"/>
    <mergeCell ref="P94:R94"/>
    <mergeCell ref="H95:I95"/>
    <mergeCell ref="J95:M95"/>
    <mergeCell ref="N95:O95"/>
    <mergeCell ref="P95:R95"/>
    <mergeCell ref="H96:I96"/>
    <mergeCell ref="N116:O116"/>
    <mergeCell ref="N118:O118"/>
    <mergeCell ref="H115:I115"/>
    <mergeCell ref="J115:M115"/>
    <mergeCell ref="N115:O115"/>
    <mergeCell ref="P115:R115"/>
    <mergeCell ref="H116:I116"/>
    <mergeCell ref="J116:M116"/>
    <mergeCell ref="P116:R116"/>
    <mergeCell ref="H117:I117"/>
    <mergeCell ref="J117:M117"/>
    <mergeCell ref="N117:O117"/>
    <mergeCell ref="P117:R117"/>
    <mergeCell ref="H118:I118"/>
    <mergeCell ref="J118:M118"/>
    <mergeCell ref="P118:R118"/>
    <mergeCell ref="N104:O104"/>
    <mergeCell ref="N106:O106"/>
    <mergeCell ref="N108:O108"/>
    <mergeCell ref="N112:O112"/>
    <mergeCell ref="H105:I105"/>
    <mergeCell ref="J105:M105"/>
    <mergeCell ref="N105:O105"/>
    <mergeCell ref="P105:R105"/>
    <mergeCell ref="H106:I106"/>
    <mergeCell ref="J106:M106"/>
    <mergeCell ref="P106:R106"/>
    <mergeCell ref="H107:I107"/>
    <mergeCell ref="J107:M107"/>
    <mergeCell ref="N107:O107"/>
    <mergeCell ref="P107:R107"/>
    <mergeCell ref="H108:I108"/>
    <mergeCell ref="N150:O150"/>
    <mergeCell ref="P141:R141"/>
    <mergeCell ref="H142:I142"/>
    <mergeCell ref="J142:M142"/>
    <mergeCell ref="P142:R142"/>
    <mergeCell ref="H143:I143"/>
    <mergeCell ref="J143:M143"/>
    <mergeCell ref="P143:R143"/>
    <mergeCell ref="N132:O132"/>
    <mergeCell ref="N133:O133"/>
    <mergeCell ref="N134:O134"/>
    <mergeCell ref="N136:O136"/>
    <mergeCell ref="H130:I130"/>
    <mergeCell ref="J130:M130"/>
    <mergeCell ref="N130:O130"/>
    <mergeCell ref="P130:R130"/>
    <mergeCell ref="H131:I131"/>
    <mergeCell ref="J131:M131"/>
    <mergeCell ref="N131:O131"/>
    <mergeCell ref="P131:R131"/>
    <mergeCell ref="H132:I132"/>
    <mergeCell ref="J132:M132"/>
    <mergeCell ref="P132:R132"/>
    <mergeCell ref="H133:I133"/>
    <mergeCell ref="J133:M133"/>
    <mergeCell ref="P133:R133"/>
    <mergeCell ref="H134:I134"/>
    <mergeCell ref="J134:M134"/>
    <mergeCell ref="P134:R134"/>
    <mergeCell ref="H135:I135"/>
    <mergeCell ref="J135:M135"/>
    <mergeCell ref="N135:O135"/>
    <mergeCell ref="P168:R168"/>
    <mergeCell ref="H169:I169"/>
    <mergeCell ref="J169:M169"/>
    <mergeCell ref="N169:O169"/>
    <mergeCell ref="P169:R169"/>
    <mergeCell ref="H170:I170"/>
    <mergeCell ref="J170:M170"/>
    <mergeCell ref="N170:O170"/>
    <mergeCell ref="H156:I156"/>
    <mergeCell ref="J156:M156"/>
    <mergeCell ref="P156:R156"/>
    <mergeCell ref="H157:I157"/>
    <mergeCell ref="J157:M157"/>
    <mergeCell ref="N157:O157"/>
    <mergeCell ref="P157:R157"/>
    <mergeCell ref="N146:O146"/>
    <mergeCell ref="N148:O148"/>
    <mergeCell ref="N152:O152"/>
    <mergeCell ref="N153:O153"/>
    <mergeCell ref="H147:I147"/>
    <mergeCell ref="J147:M147"/>
    <mergeCell ref="N147:O147"/>
    <mergeCell ref="P147:R147"/>
    <mergeCell ref="H148:I148"/>
    <mergeCell ref="J148:M148"/>
    <mergeCell ref="P148:R148"/>
    <mergeCell ref="H149:I149"/>
    <mergeCell ref="J149:M149"/>
    <mergeCell ref="N149:O149"/>
    <mergeCell ref="P149:R149"/>
    <mergeCell ref="H150:I150"/>
    <mergeCell ref="J150:M150"/>
    <mergeCell ref="P74:R74"/>
    <mergeCell ref="H75:I75"/>
    <mergeCell ref="J75:M75"/>
    <mergeCell ref="N75:O75"/>
    <mergeCell ref="P75:R75"/>
    <mergeCell ref="H76:I76"/>
    <mergeCell ref="J76:M76"/>
    <mergeCell ref="P76:R76"/>
    <mergeCell ref="H77:I77"/>
    <mergeCell ref="J77:M77"/>
    <mergeCell ref="N77:O77"/>
    <mergeCell ref="P77:R77"/>
    <mergeCell ref="P91:R91"/>
    <mergeCell ref="H92:I92"/>
    <mergeCell ref="J92:M92"/>
    <mergeCell ref="P92:R92"/>
    <mergeCell ref="N82:O82"/>
    <mergeCell ref="N83:O83"/>
    <mergeCell ref="N84:O84"/>
    <mergeCell ref="N86:O86"/>
    <mergeCell ref="H81:I81"/>
    <mergeCell ref="J81:M81"/>
    <mergeCell ref="N81:O81"/>
    <mergeCell ref="P81:R81"/>
    <mergeCell ref="H82:I82"/>
    <mergeCell ref="J82:M82"/>
    <mergeCell ref="P82:R82"/>
    <mergeCell ref="H83:I83"/>
    <mergeCell ref="J83:M83"/>
    <mergeCell ref="P83:R83"/>
    <mergeCell ref="J85:M85"/>
    <mergeCell ref="N85:O85"/>
    <mergeCell ref="P85:R85"/>
    <mergeCell ref="H86:I86"/>
    <mergeCell ref="J86:M86"/>
    <mergeCell ref="P86:R86"/>
    <mergeCell ref="H87:I87"/>
    <mergeCell ref="J87:M87"/>
    <mergeCell ref="N87:O87"/>
    <mergeCell ref="P87:R87"/>
    <mergeCell ref="N88:O88"/>
    <mergeCell ref="N92:O92"/>
    <mergeCell ref="N93:O93"/>
    <mergeCell ref="N94:O94"/>
    <mergeCell ref="H88:I88"/>
    <mergeCell ref="J88:M88"/>
    <mergeCell ref="P88:R88"/>
    <mergeCell ref="H89:I89"/>
    <mergeCell ref="J89:M89"/>
    <mergeCell ref="N89:O89"/>
    <mergeCell ref="P89:R89"/>
    <mergeCell ref="H90:I90"/>
    <mergeCell ref="J96:M96"/>
    <mergeCell ref="P96:R96"/>
    <mergeCell ref="H97:I97"/>
    <mergeCell ref="J97:M97"/>
    <mergeCell ref="N97:O97"/>
    <mergeCell ref="P97:R97"/>
    <mergeCell ref="H112:I112"/>
    <mergeCell ref="J112:M112"/>
    <mergeCell ref="P112:R112"/>
    <mergeCell ref="H113:I113"/>
    <mergeCell ref="J113:M113"/>
    <mergeCell ref="P113:R113"/>
    <mergeCell ref="J108:M108"/>
    <mergeCell ref="P108:R108"/>
    <mergeCell ref="N96:O96"/>
    <mergeCell ref="N98:O98"/>
    <mergeCell ref="N102:O102"/>
    <mergeCell ref="N103:O103"/>
    <mergeCell ref="H98:I98"/>
    <mergeCell ref="J98:M98"/>
    <mergeCell ref="P98:R98"/>
    <mergeCell ref="H99:I99"/>
    <mergeCell ref="J99:M99"/>
    <mergeCell ref="N99:O99"/>
    <mergeCell ref="P99:R99"/>
    <mergeCell ref="H100:I100"/>
    <mergeCell ref="J100:M100"/>
    <mergeCell ref="N100:O100"/>
    <mergeCell ref="P100:R100"/>
    <mergeCell ref="H101:I101"/>
    <mergeCell ref="J101:M101"/>
    <mergeCell ref="N101:O101"/>
    <mergeCell ref="H114:I114"/>
    <mergeCell ref="J114:M114"/>
    <mergeCell ref="P114:R114"/>
    <mergeCell ref="H109:I109"/>
    <mergeCell ref="J109:M109"/>
    <mergeCell ref="N109:O109"/>
    <mergeCell ref="P109:R109"/>
    <mergeCell ref="H110:I110"/>
    <mergeCell ref="J110:M110"/>
    <mergeCell ref="N110:O110"/>
    <mergeCell ref="P110:R110"/>
    <mergeCell ref="H111:I111"/>
    <mergeCell ref="J111:M111"/>
    <mergeCell ref="N111:O111"/>
    <mergeCell ref="P111:R111"/>
    <mergeCell ref="N113:O113"/>
    <mergeCell ref="N114:O114"/>
    <mergeCell ref="P122:R122"/>
    <mergeCell ref="H123:I123"/>
    <mergeCell ref="J123:M123"/>
    <mergeCell ref="P123:R123"/>
    <mergeCell ref="H124:I124"/>
    <mergeCell ref="J124:M124"/>
    <mergeCell ref="P124:R124"/>
    <mergeCell ref="H125:I125"/>
    <mergeCell ref="J125:M125"/>
    <mergeCell ref="N125:O125"/>
    <mergeCell ref="P125:R125"/>
    <mergeCell ref="H119:I119"/>
    <mergeCell ref="J119:M119"/>
    <mergeCell ref="N119:O119"/>
    <mergeCell ref="P119:R119"/>
    <mergeCell ref="H120:I120"/>
    <mergeCell ref="J120:M120"/>
    <mergeCell ref="N120:O120"/>
    <mergeCell ref="P120:R120"/>
    <mergeCell ref="H121:I121"/>
    <mergeCell ref="J121:M121"/>
    <mergeCell ref="N121:O121"/>
    <mergeCell ref="P121:R121"/>
    <mergeCell ref="N122:O122"/>
    <mergeCell ref="N123:O123"/>
    <mergeCell ref="N124:O124"/>
    <mergeCell ref="H122:I122"/>
    <mergeCell ref="J122:M122"/>
    <mergeCell ref="H136:I136"/>
    <mergeCell ref="J136:M136"/>
    <mergeCell ref="P136:R136"/>
    <mergeCell ref="P126:R126"/>
    <mergeCell ref="H127:I127"/>
    <mergeCell ref="J127:M127"/>
    <mergeCell ref="N127:O127"/>
    <mergeCell ref="P127:R127"/>
    <mergeCell ref="H128:I128"/>
    <mergeCell ref="J128:M128"/>
    <mergeCell ref="P128:R128"/>
    <mergeCell ref="H129:I129"/>
    <mergeCell ref="J129:M129"/>
    <mergeCell ref="N129:O129"/>
    <mergeCell ref="P129:R129"/>
    <mergeCell ref="N126:O126"/>
    <mergeCell ref="N128:O128"/>
    <mergeCell ref="H126:I126"/>
    <mergeCell ref="J126:M126"/>
    <mergeCell ref="P135:R135"/>
    <mergeCell ref="H144:I144"/>
    <mergeCell ref="J144:M144"/>
    <mergeCell ref="P144:R144"/>
    <mergeCell ref="H145:I145"/>
    <mergeCell ref="J145:M145"/>
    <mergeCell ref="N145:O145"/>
    <mergeCell ref="P145:R145"/>
    <mergeCell ref="H146:I146"/>
    <mergeCell ref="J146:M146"/>
    <mergeCell ref="P146:R146"/>
    <mergeCell ref="H137:I137"/>
    <mergeCell ref="J137:M137"/>
    <mergeCell ref="N137:O137"/>
    <mergeCell ref="P137:R137"/>
    <mergeCell ref="H138:I138"/>
    <mergeCell ref="J138:M138"/>
    <mergeCell ref="P138:R138"/>
    <mergeCell ref="H139:I139"/>
    <mergeCell ref="J139:M139"/>
    <mergeCell ref="N139:O139"/>
    <mergeCell ref="P139:R139"/>
    <mergeCell ref="N138:O138"/>
    <mergeCell ref="N142:O142"/>
    <mergeCell ref="N143:O143"/>
    <mergeCell ref="N144:O144"/>
    <mergeCell ref="H140:I140"/>
    <mergeCell ref="J140:M140"/>
    <mergeCell ref="N140:O140"/>
    <mergeCell ref="P140:R140"/>
    <mergeCell ref="H141:I141"/>
    <mergeCell ref="J141:M141"/>
    <mergeCell ref="N141:O141"/>
    <mergeCell ref="H158:I158"/>
    <mergeCell ref="J158:M158"/>
    <mergeCell ref="P158:R158"/>
    <mergeCell ref="H159:I159"/>
    <mergeCell ref="J159:M159"/>
    <mergeCell ref="N159:O159"/>
    <mergeCell ref="P159:R159"/>
    <mergeCell ref="H160:I160"/>
    <mergeCell ref="J160:M160"/>
    <mergeCell ref="N160:O160"/>
    <mergeCell ref="P160:R160"/>
    <mergeCell ref="P150:R150"/>
    <mergeCell ref="H151:I151"/>
    <mergeCell ref="J151:M151"/>
    <mergeCell ref="N151:O151"/>
    <mergeCell ref="P151:R151"/>
    <mergeCell ref="H152:I152"/>
    <mergeCell ref="J152:M152"/>
    <mergeCell ref="P152:R152"/>
    <mergeCell ref="H153:I153"/>
    <mergeCell ref="J153:M153"/>
    <mergeCell ref="P153:R153"/>
    <mergeCell ref="N154:O154"/>
    <mergeCell ref="N156:O156"/>
    <mergeCell ref="N158:O158"/>
    <mergeCell ref="H154:I154"/>
    <mergeCell ref="J154:M154"/>
    <mergeCell ref="P154:R154"/>
    <mergeCell ref="H155:I155"/>
    <mergeCell ref="J155:M155"/>
    <mergeCell ref="N155:O155"/>
    <mergeCell ref="P155:R155"/>
    <mergeCell ref="P170:R170"/>
    <mergeCell ref="H161:I161"/>
    <mergeCell ref="J161:M161"/>
    <mergeCell ref="N161:O161"/>
    <mergeCell ref="P161:R161"/>
    <mergeCell ref="H162:I162"/>
    <mergeCell ref="J162:M162"/>
    <mergeCell ref="P162:R162"/>
    <mergeCell ref="H163:I163"/>
    <mergeCell ref="J163:M163"/>
    <mergeCell ref="P163:R163"/>
    <mergeCell ref="P166:R166"/>
    <mergeCell ref="H167:I167"/>
    <mergeCell ref="J167:M167"/>
    <mergeCell ref="N167:O167"/>
    <mergeCell ref="P167:R167"/>
    <mergeCell ref="N162:O162"/>
    <mergeCell ref="N163:O163"/>
    <mergeCell ref="N164:O164"/>
    <mergeCell ref="N166:O166"/>
    <mergeCell ref="N168:O168"/>
    <mergeCell ref="H164:I164"/>
    <mergeCell ref="J164:M164"/>
    <mergeCell ref="P164:R164"/>
    <mergeCell ref="H165:I165"/>
    <mergeCell ref="J165:M165"/>
    <mergeCell ref="N165:O165"/>
    <mergeCell ref="P165:R165"/>
    <mergeCell ref="H166:I166"/>
    <mergeCell ref="J166:M166"/>
    <mergeCell ref="H168:I168"/>
    <mergeCell ref="J168:M168"/>
    <mergeCell ref="P174:R174"/>
    <mergeCell ref="H175:I175"/>
    <mergeCell ref="J175:M175"/>
    <mergeCell ref="N175:O175"/>
    <mergeCell ref="P175:R175"/>
    <mergeCell ref="H176:I176"/>
    <mergeCell ref="J176:M176"/>
    <mergeCell ref="P176:R176"/>
    <mergeCell ref="H177:I177"/>
    <mergeCell ref="J177:M177"/>
    <mergeCell ref="N177:O177"/>
    <mergeCell ref="P177:R177"/>
    <mergeCell ref="H171:I171"/>
    <mergeCell ref="J171:M171"/>
    <mergeCell ref="N171:O171"/>
    <mergeCell ref="P171:R171"/>
    <mergeCell ref="H172:I172"/>
    <mergeCell ref="J172:M172"/>
    <mergeCell ref="P172:R172"/>
    <mergeCell ref="H173:I173"/>
    <mergeCell ref="J173:M173"/>
    <mergeCell ref="P173:R173"/>
    <mergeCell ref="N172:O172"/>
    <mergeCell ref="N173:O173"/>
    <mergeCell ref="N174:O174"/>
    <mergeCell ref="N176:O176"/>
    <mergeCell ref="H174:I174"/>
    <mergeCell ref="J174:M174"/>
    <mergeCell ref="H181:I181"/>
    <mergeCell ref="J181:M181"/>
    <mergeCell ref="N181:O181"/>
    <mergeCell ref="P181:R181"/>
    <mergeCell ref="H182:I182"/>
    <mergeCell ref="J182:M182"/>
    <mergeCell ref="N182:O182"/>
    <mergeCell ref="P182:R182"/>
    <mergeCell ref="H183:I183"/>
    <mergeCell ref="J183:M183"/>
    <mergeCell ref="N183:O183"/>
    <mergeCell ref="P183:R183"/>
    <mergeCell ref="P178:R178"/>
    <mergeCell ref="H179:I179"/>
    <mergeCell ref="J179:M179"/>
    <mergeCell ref="N179:O179"/>
    <mergeCell ref="P179:R179"/>
    <mergeCell ref="H180:I180"/>
    <mergeCell ref="J180:M180"/>
    <mergeCell ref="N180:O180"/>
    <mergeCell ref="P180:R180"/>
    <mergeCell ref="N178:O178"/>
    <mergeCell ref="H178:I178"/>
    <mergeCell ref="J178:M178"/>
    <mergeCell ref="H187:I187"/>
    <mergeCell ref="J187:M187"/>
    <mergeCell ref="N187:O187"/>
    <mergeCell ref="P187:R187"/>
    <mergeCell ref="H188:I188"/>
    <mergeCell ref="J188:M188"/>
    <mergeCell ref="N188:O188"/>
    <mergeCell ref="P188:R188"/>
    <mergeCell ref="H189:I189"/>
    <mergeCell ref="J189:M189"/>
    <mergeCell ref="N189:O189"/>
    <mergeCell ref="P189:R189"/>
    <mergeCell ref="H184:I184"/>
    <mergeCell ref="J184:M184"/>
    <mergeCell ref="N184:O184"/>
    <mergeCell ref="P184:R184"/>
    <mergeCell ref="H185:I185"/>
    <mergeCell ref="J185:M185"/>
    <mergeCell ref="N185:O185"/>
    <mergeCell ref="P185:R185"/>
    <mergeCell ref="H186:I186"/>
    <mergeCell ref="J186:M186"/>
    <mergeCell ref="N186:O186"/>
    <mergeCell ref="P186:R186"/>
    <mergeCell ref="H193:I193"/>
    <mergeCell ref="J193:M193"/>
    <mergeCell ref="N193:O193"/>
    <mergeCell ref="P193:R193"/>
    <mergeCell ref="H194:I194"/>
    <mergeCell ref="J194:M194"/>
    <mergeCell ref="N194:O194"/>
    <mergeCell ref="P194:R194"/>
    <mergeCell ref="H195:I195"/>
    <mergeCell ref="J195:M195"/>
    <mergeCell ref="N195:O195"/>
    <mergeCell ref="P195:R195"/>
    <mergeCell ref="H190:I190"/>
    <mergeCell ref="J190:M190"/>
    <mergeCell ref="N190:O190"/>
    <mergeCell ref="P190:R190"/>
    <mergeCell ref="H191:I191"/>
    <mergeCell ref="J191:M191"/>
    <mergeCell ref="N191:O191"/>
    <mergeCell ref="P191:R191"/>
    <mergeCell ref="H192:I192"/>
    <mergeCell ref="J192:M192"/>
    <mergeCell ref="N192:O192"/>
    <mergeCell ref="P192:R192"/>
    <mergeCell ref="H199:I199"/>
    <mergeCell ref="J199:M199"/>
    <mergeCell ref="N199:O199"/>
    <mergeCell ref="P199:R199"/>
    <mergeCell ref="H200:I200"/>
    <mergeCell ref="J200:M200"/>
    <mergeCell ref="N200:O200"/>
    <mergeCell ref="P200:R200"/>
    <mergeCell ref="H201:I201"/>
    <mergeCell ref="J201:M201"/>
    <mergeCell ref="N201:O201"/>
    <mergeCell ref="P201:R201"/>
    <mergeCell ref="H196:I196"/>
    <mergeCell ref="J196:M196"/>
    <mergeCell ref="N196:O196"/>
    <mergeCell ref="P196:R196"/>
    <mergeCell ref="H197:I197"/>
    <mergeCell ref="J197:M197"/>
    <mergeCell ref="N197:O197"/>
    <mergeCell ref="P197:R197"/>
    <mergeCell ref="H198:I198"/>
    <mergeCell ref="J198:M198"/>
    <mergeCell ref="N198:O198"/>
    <mergeCell ref="P198:R198"/>
    <mergeCell ref="H205:I205"/>
    <mergeCell ref="J205:M205"/>
    <mergeCell ref="N205:O205"/>
    <mergeCell ref="P205:R205"/>
    <mergeCell ref="H206:I206"/>
    <mergeCell ref="J206:M206"/>
    <mergeCell ref="N206:O206"/>
    <mergeCell ref="P206:R206"/>
    <mergeCell ref="H207:I207"/>
    <mergeCell ref="J207:M207"/>
    <mergeCell ref="N207:O207"/>
    <mergeCell ref="P207:R207"/>
    <mergeCell ref="H202:I202"/>
    <mergeCell ref="J202:M202"/>
    <mergeCell ref="N202:O202"/>
    <mergeCell ref="P202:R202"/>
    <mergeCell ref="H203:I203"/>
    <mergeCell ref="J203:M203"/>
    <mergeCell ref="N203:O203"/>
    <mergeCell ref="P203:R203"/>
    <mergeCell ref="H204:I204"/>
    <mergeCell ref="J204:M204"/>
    <mergeCell ref="N204:O204"/>
    <mergeCell ref="P204:R204"/>
    <mergeCell ref="H211:I211"/>
    <mergeCell ref="J211:M211"/>
    <mergeCell ref="N211:O211"/>
    <mergeCell ref="P211:R211"/>
    <mergeCell ref="H212:I212"/>
    <mergeCell ref="J212:M212"/>
    <mergeCell ref="N212:O212"/>
    <mergeCell ref="P212:R212"/>
    <mergeCell ref="H213:I213"/>
    <mergeCell ref="J213:M213"/>
    <mergeCell ref="N213:O213"/>
    <mergeCell ref="P213:R213"/>
    <mergeCell ref="H208:I208"/>
    <mergeCell ref="J208:M208"/>
    <mergeCell ref="N208:O208"/>
    <mergeCell ref="P208:R208"/>
    <mergeCell ref="H209:I209"/>
    <mergeCell ref="J209:M209"/>
    <mergeCell ref="N209:O209"/>
    <mergeCell ref="P209:R209"/>
    <mergeCell ref="H210:I210"/>
    <mergeCell ref="J210:M210"/>
    <mergeCell ref="N210:O210"/>
    <mergeCell ref="P210:R210"/>
    <mergeCell ref="H217:I217"/>
    <mergeCell ref="J217:M217"/>
    <mergeCell ref="N217:O217"/>
    <mergeCell ref="P217:R217"/>
    <mergeCell ref="H218:I218"/>
    <mergeCell ref="J218:M218"/>
    <mergeCell ref="N218:O218"/>
    <mergeCell ref="P218:R218"/>
    <mergeCell ref="H219:I219"/>
    <mergeCell ref="J219:M219"/>
    <mergeCell ref="N219:O219"/>
    <mergeCell ref="P219:R219"/>
    <mergeCell ref="H214:I214"/>
    <mergeCell ref="J214:M214"/>
    <mergeCell ref="N214:O214"/>
    <mergeCell ref="P214:R214"/>
    <mergeCell ref="H215:I215"/>
    <mergeCell ref="J215:M215"/>
    <mergeCell ref="N215:O215"/>
    <mergeCell ref="P215:R215"/>
    <mergeCell ref="H216:I216"/>
    <mergeCell ref="J216:M216"/>
    <mergeCell ref="N216:O216"/>
    <mergeCell ref="P216:R216"/>
    <mergeCell ref="H223:I223"/>
    <mergeCell ref="J223:M223"/>
    <mergeCell ref="N223:O223"/>
    <mergeCell ref="P223:R223"/>
    <mergeCell ref="H224:I224"/>
    <mergeCell ref="J224:M224"/>
    <mergeCell ref="N224:O224"/>
    <mergeCell ref="P224:R224"/>
    <mergeCell ref="H225:I225"/>
    <mergeCell ref="J225:M225"/>
    <mergeCell ref="N225:O225"/>
    <mergeCell ref="P225:R225"/>
    <mergeCell ref="H220:I220"/>
    <mergeCell ref="J220:M220"/>
    <mergeCell ref="N220:O220"/>
    <mergeCell ref="P220:R220"/>
    <mergeCell ref="H221:I221"/>
    <mergeCell ref="J221:M221"/>
    <mergeCell ref="N221:O221"/>
    <mergeCell ref="P221:R221"/>
    <mergeCell ref="H222:I222"/>
    <mergeCell ref="J222:M222"/>
    <mergeCell ref="N222:O222"/>
    <mergeCell ref="P222:R222"/>
    <mergeCell ref="H229:I229"/>
    <mergeCell ref="J229:M229"/>
    <mergeCell ref="N229:O229"/>
    <mergeCell ref="P229:R229"/>
    <mergeCell ref="H230:I230"/>
    <mergeCell ref="J230:M230"/>
    <mergeCell ref="N230:O230"/>
    <mergeCell ref="P230:R230"/>
    <mergeCell ref="H231:I231"/>
    <mergeCell ref="J231:M231"/>
    <mergeCell ref="N231:O231"/>
    <mergeCell ref="P231:R231"/>
    <mergeCell ref="H226:I226"/>
    <mergeCell ref="J226:M226"/>
    <mergeCell ref="N226:O226"/>
    <mergeCell ref="P226:R226"/>
    <mergeCell ref="H227:I227"/>
    <mergeCell ref="J227:M227"/>
    <mergeCell ref="N227:O227"/>
    <mergeCell ref="P227:R227"/>
    <mergeCell ref="H228:I228"/>
    <mergeCell ref="J228:M228"/>
    <mergeCell ref="N228:O228"/>
    <mergeCell ref="P228:R228"/>
    <mergeCell ref="H235:I235"/>
    <mergeCell ref="J235:M235"/>
    <mergeCell ref="N235:O235"/>
    <mergeCell ref="P235:R235"/>
    <mergeCell ref="H236:I236"/>
    <mergeCell ref="J236:M236"/>
    <mergeCell ref="N236:O236"/>
    <mergeCell ref="P236:R236"/>
    <mergeCell ref="H237:I237"/>
    <mergeCell ref="J237:M237"/>
    <mergeCell ref="N237:O237"/>
    <mergeCell ref="P237:R237"/>
    <mergeCell ref="H232:I232"/>
    <mergeCell ref="J232:M232"/>
    <mergeCell ref="N232:O232"/>
    <mergeCell ref="P232:R232"/>
    <mergeCell ref="H233:I233"/>
    <mergeCell ref="J233:M233"/>
    <mergeCell ref="N233:O233"/>
    <mergeCell ref="P233:R233"/>
    <mergeCell ref="H234:I234"/>
    <mergeCell ref="J234:M234"/>
    <mergeCell ref="N234:O234"/>
    <mergeCell ref="P234:R234"/>
    <mergeCell ref="H241:I241"/>
    <mergeCell ref="J241:M241"/>
    <mergeCell ref="N241:O241"/>
    <mergeCell ref="P241:R241"/>
    <mergeCell ref="H242:I242"/>
    <mergeCell ref="J242:M242"/>
    <mergeCell ref="N242:O242"/>
    <mergeCell ref="P242:R242"/>
    <mergeCell ref="H243:I243"/>
    <mergeCell ref="J243:M243"/>
    <mergeCell ref="N243:O243"/>
    <mergeCell ref="P243:R243"/>
    <mergeCell ref="H238:I238"/>
    <mergeCell ref="J238:M238"/>
    <mergeCell ref="N238:O238"/>
    <mergeCell ref="P238:R238"/>
    <mergeCell ref="H239:I239"/>
    <mergeCell ref="J239:M239"/>
    <mergeCell ref="N239:O239"/>
    <mergeCell ref="P239:R239"/>
    <mergeCell ref="H240:I240"/>
    <mergeCell ref="J240:M240"/>
    <mergeCell ref="N240:O240"/>
    <mergeCell ref="P240:R240"/>
    <mergeCell ref="H247:I247"/>
    <mergeCell ref="J247:M247"/>
    <mergeCell ref="N247:O247"/>
    <mergeCell ref="P247:R247"/>
    <mergeCell ref="H248:I248"/>
    <mergeCell ref="J248:M248"/>
    <mergeCell ref="N248:O248"/>
    <mergeCell ref="P248:R248"/>
    <mergeCell ref="H249:I249"/>
    <mergeCell ref="J249:M249"/>
    <mergeCell ref="N249:O249"/>
    <mergeCell ref="P249:R249"/>
    <mergeCell ref="H244:I244"/>
    <mergeCell ref="J244:M244"/>
    <mergeCell ref="N244:O244"/>
    <mergeCell ref="P244:R244"/>
    <mergeCell ref="H245:I245"/>
    <mergeCell ref="J245:M245"/>
    <mergeCell ref="N245:O245"/>
    <mergeCell ref="P245:R245"/>
    <mergeCell ref="H246:I246"/>
    <mergeCell ref="J246:M246"/>
    <mergeCell ref="N246:O246"/>
    <mergeCell ref="P246:R246"/>
    <mergeCell ref="H253:I253"/>
    <mergeCell ref="J253:M253"/>
    <mergeCell ref="N253:O253"/>
    <mergeCell ref="P253:R253"/>
    <mergeCell ref="H254:I254"/>
    <mergeCell ref="J254:M254"/>
    <mergeCell ref="N254:O254"/>
    <mergeCell ref="P254:R254"/>
    <mergeCell ref="H255:I255"/>
    <mergeCell ref="J255:M255"/>
    <mergeCell ref="N255:O255"/>
    <mergeCell ref="P255:R255"/>
    <mergeCell ref="H250:I250"/>
    <mergeCell ref="J250:M250"/>
    <mergeCell ref="N250:O250"/>
    <mergeCell ref="P250:R250"/>
    <mergeCell ref="H251:I251"/>
    <mergeCell ref="J251:M251"/>
    <mergeCell ref="N251:O251"/>
    <mergeCell ref="P251:R251"/>
    <mergeCell ref="H252:I252"/>
    <mergeCell ref="J252:M252"/>
    <mergeCell ref="N252:O252"/>
    <mergeCell ref="P252:R252"/>
    <mergeCell ref="H259:I259"/>
    <mergeCell ref="J259:M259"/>
    <mergeCell ref="N259:O259"/>
    <mergeCell ref="P259:R259"/>
    <mergeCell ref="H260:I260"/>
    <mergeCell ref="J260:M260"/>
    <mergeCell ref="N260:O260"/>
    <mergeCell ref="P260:R260"/>
    <mergeCell ref="H261:I261"/>
    <mergeCell ref="J261:M261"/>
    <mergeCell ref="N261:O261"/>
    <mergeCell ref="P261:R261"/>
    <mergeCell ref="H256:I256"/>
    <mergeCell ref="J256:M256"/>
    <mergeCell ref="N256:O256"/>
    <mergeCell ref="P256:R256"/>
    <mergeCell ref="H257:I257"/>
    <mergeCell ref="J257:M257"/>
    <mergeCell ref="N257:O257"/>
    <mergeCell ref="P257:R257"/>
    <mergeCell ref="H258:I258"/>
    <mergeCell ref="J258:M258"/>
    <mergeCell ref="N258:O258"/>
    <mergeCell ref="P258:R258"/>
    <mergeCell ref="H265:I265"/>
    <mergeCell ref="J265:M265"/>
    <mergeCell ref="N265:O265"/>
    <mergeCell ref="P265:R265"/>
    <mergeCell ref="H266:I266"/>
    <mergeCell ref="J266:M266"/>
    <mergeCell ref="N266:O266"/>
    <mergeCell ref="P266:R266"/>
    <mergeCell ref="H267:I267"/>
    <mergeCell ref="J267:M267"/>
    <mergeCell ref="N267:O267"/>
    <mergeCell ref="P267:R267"/>
    <mergeCell ref="H262:I262"/>
    <mergeCell ref="J262:M262"/>
    <mergeCell ref="N262:O262"/>
    <mergeCell ref="P262:R262"/>
    <mergeCell ref="H263:I263"/>
    <mergeCell ref="J263:M263"/>
    <mergeCell ref="N263:O263"/>
    <mergeCell ref="P263:R263"/>
    <mergeCell ref="H264:I264"/>
    <mergeCell ref="J264:M264"/>
    <mergeCell ref="N264:O264"/>
    <mergeCell ref="P264:R264"/>
    <mergeCell ref="H271:I271"/>
    <mergeCell ref="J271:M271"/>
    <mergeCell ref="N271:O271"/>
    <mergeCell ref="P271:R271"/>
    <mergeCell ref="H272:I272"/>
    <mergeCell ref="J272:M272"/>
    <mergeCell ref="N272:O272"/>
    <mergeCell ref="P272:R272"/>
    <mergeCell ref="H273:I273"/>
    <mergeCell ref="J273:M273"/>
    <mergeCell ref="N273:O273"/>
    <mergeCell ref="P273:R273"/>
    <mergeCell ref="H268:I268"/>
    <mergeCell ref="J268:M268"/>
    <mergeCell ref="N268:O268"/>
    <mergeCell ref="P268:R268"/>
    <mergeCell ref="H269:I269"/>
    <mergeCell ref="J269:M269"/>
    <mergeCell ref="N269:O269"/>
    <mergeCell ref="P269:R269"/>
    <mergeCell ref="H270:I270"/>
    <mergeCell ref="J270:M270"/>
    <mergeCell ref="N270:O270"/>
    <mergeCell ref="P270:R270"/>
    <mergeCell ref="H277:I277"/>
    <mergeCell ref="J277:M277"/>
    <mergeCell ref="N277:O277"/>
    <mergeCell ref="P277:R277"/>
    <mergeCell ref="H278:I278"/>
    <mergeCell ref="J278:M278"/>
    <mergeCell ref="N278:O278"/>
    <mergeCell ref="P278:R278"/>
    <mergeCell ref="H279:I279"/>
    <mergeCell ref="J279:M279"/>
    <mergeCell ref="N279:O279"/>
    <mergeCell ref="P279:R279"/>
    <mergeCell ref="H274:I274"/>
    <mergeCell ref="J274:M274"/>
    <mergeCell ref="N274:O274"/>
    <mergeCell ref="P274:R274"/>
    <mergeCell ref="H275:I275"/>
    <mergeCell ref="J275:M275"/>
    <mergeCell ref="N275:O275"/>
    <mergeCell ref="P275:R275"/>
    <mergeCell ref="H276:I276"/>
    <mergeCell ref="J276:M276"/>
    <mergeCell ref="N276:O276"/>
    <mergeCell ref="P276:R276"/>
    <mergeCell ref="H283:I283"/>
    <mergeCell ref="J283:M283"/>
    <mergeCell ref="N283:O283"/>
    <mergeCell ref="P283:R283"/>
    <mergeCell ref="H284:I284"/>
    <mergeCell ref="J284:M284"/>
    <mergeCell ref="N284:O284"/>
    <mergeCell ref="P284:R284"/>
    <mergeCell ref="H285:I285"/>
    <mergeCell ref="J285:M285"/>
    <mergeCell ref="N285:O285"/>
    <mergeCell ref="P285:R285"/>
    <mergeCell ref="H280:I280"/>
    <mergeCell ref="J280:M280"/>
    <mergeCell ref="N280:O280"/>
    <mergeCell ref="P280:R280"/>
    <mergeCell ref="H281:I281"/>
    <mergeCell ref="J281:M281"/>
    <mergeCell ref="N281:O281"/>
    <mergeCell ref="P281:R281"/>
    <mergeCell ref="H282:I282"/>
    <mergeCell ref="J282:M282"/>
    <mergeCell ref="N282:O282"/>
    <mergeCell ref="P282:R282"/>
    <mergeCell ref="H289:I289"/>
    <mergeCell ref="J289:M289"/>
    <mergeCell ref="N289:O289"/>
    <mergeCell ref="P289:R289"/>
    <mergeCell ref="H290:I290"/>
    <mergeCell ref="J290:M290"/>
    <mergeCell ref="N290:O290"/>
    <mergeCell ref="P290:R290"/>
    <mergeCell ref="H291:I291"/>
    <mergeCell ref="J291:M291"/>
    <mergeCell ref="N291:O291"/>
    <mergeCell ref="P291:R291"/>
    <mergeCell ref="H286:I286"/>
    <mergeCell ref="J286:M286"/>
    <mergeCell ref="N286:O286"/>
    <mergeCell ref="P286:R286"/>
    <mergeCell ref="H287:I287"/>
    <mergeCell ref="J287:M287"/>
    <mergeCell ref="N287:O287"/>
    <mergeCell ref="P287:R287"/>
    <mergeCell ref="H288:I288"/>
    <mergeCell ref="J288:M288"/>
    <mergeCell ref="N288:O288"/>
    <mergeCell ref="P288:R288"/>
    <mergeCell ref="H295:I295"/>
    <mergeCell ref="J295:M295"/>
    <mergeCell ref="N295:O295"/>
    <mergeCell ref="P295:R295"/>
    <mergeCell ref="H296:I296"/>
    <mergeCell ref="J296:M296"/>
    <mergeCell ref="N296:O296"/>
    <mergeCell ref="P296:R296"/>
    <mergeCell ref="H297:I297"/>
    <mergeCell ref="J297:M297"/>
    <mergeCell ref="N297:O297"/>
    <mergeCell ref="P297:R297"/>
    <mergeCell ref="H292:I292"/>
    <mergeCell ref="J292:M292"/>
    <mergeCell ref="N292:O292"/>
    <mergeCell ref="P292:R292"/>
    <mergeCell ref="H293:I293"/>
    <mergeCell ref="J293:M293"/>
    <mergeCell ref="N293:O293"/>
    <mergeCell ref="P293:R293"/>
    <mergeCell ref="H294:I294"/>
    <mergeCell ref="J294:M294"/>
    <mergeCell ref="N294:O294"/>
    <mergeCell ref="P294:R294"/>
    <mergeCell ref="H301:I301"/>
    <mergeCell ref="J301:M301"/>
    <mergeCell ref="N301:O301"/>
    <mergeCell ref="P301:R301"/>
    <mergeCell ref="H302:I302"/>
    <mergeCell ref="J302:M302"/>
    <mergeCell ref="N302:O302"/>
    <mergeCell ref="P302:R302"/>
    <mergeCell ref="H303:I303"/>
    <mergeCell ref="J303:M303"/>
    <mergeCell ref="N303:O303"/>
    <mergeCell ref="P303:R303"/>
    <mergeCell ref="H298:I298"/>
    <mergeCell ref="J298:M298"/>
    <mergeCell ref="N298:O298"/>
    <mergeCell ref="P298:R298"/>
    <mergeCell ref="H299:I299"/>
    <mergeCell ref="J299:M299"/>
    <mergeCell ref="N299:O299"/>
    <mergeCell ref="P299:R299"/>
    <mergeCell ref="H300:I300"/>
    <mergeCell ref="J300:M300"/>
    <mergeCell ref="N300:O300"/>
    <mergeCell ref="P300:R300"/>
    <mergeCell ref="H307:I307"/>
    <mergeCell ref="J307:M307"/>
    <mergeCell ref="N307:O307"/>
    <mergeCell ref="P307:R307"/>
    <mergeCell ref="H308:I308"/>
    <mergeCell ref="J308:M308"/>
    <mergeCell ref="N308:O308"/>
    <mergeCell ref="P308:R308"/>
    <mergeCell ref="H309:I309"/>
    <mergeCell ref="J309:M309"/>
    <mergeCell ref="N309:O309"/>
    <mergeCell ref="P309:R309"/>
    <mergeCell ref="H304:I304"/>
    <mergeCell ref="J304:M304"/>
    <mergeCell ref="N304:O304"/>
    <mergeCell ref="P304:R304"/>
    <mergeCell ref="H305:I305"/>
    <mergeCell ref="J305:M305"/>
    <mergeCell ref="N305:O305"/>
    <mergeCell ref="P305:R305"/>
    <mergeCell ref="H306:I306"/>
    <mergeCell ref="J306:M306"/>
    <mergeCell ref="N306:O306"/>
    <mergeCell ref="P306:R306"/>
    <mergeCell ref="H313:I313"/>
    <mergeCell ref="J313:M313"/>
    <mergeCell ref="N313:O313"/>
    <mergeCell ref="P313:R313"/>
    <mergeCell ref="H314:I314"/>
    <mergeCell ref="J314:M314"/>
    <mergeCell ref="N314:O314"/>
    <mergeCell ref="P314:R314"/>
    <mergeCell ref="H315:I315"/>
    <mergeCell ref="J315:M315"/>
    <mergeCell ref="N315:O315"/>
    <mergeCell ref="P315:R315"/>
    <mergeCell ref="H310:I310"/>
    <mergeCell ref="J310:M310"/>
    <mergeCell ref="N310:O310"/>
    <mergeCell ref="P310:R310"/>
    <mergeCell ref="H311:I311"/>
    <mergeCell ref="J311:M311"/>
    <mergeCell ref="N311:O311"/>
    <mergeCell ref="P311:R311"/>
    <mergeCell ref="H312:I312"/>
    <mergeCell ref="J312:M312"/>
    <mergeCell ref="N312:O312"/>
    <mergeCell ref="P312:R312"/>
    <mergeCell ref="H319:I319"/>
    <mergeCell ref="J319:M319"/>
    <mergeCell ref="N319:O319"/>
    <mergeCell ref="P319:R319"/>
    <mergeCell ref="H320:I320"/>
    <mergeCell ref="J320:M320"/>
    <mergeCell ref="N320:O320"/>
    <mergeCell ref="P320:R320"/>
    <mergeCell ref="H321:I321"/>
    <mergeCell ref="J321:M321"/>
    <mergeCell ref="N321:O321"/>
    <mergeCell ref="P321:R321"/>
    <mergeCell ref="H316:I316"/>
    <mergeCell ref="J316:M316"/>
    <mergeCell ref="N316:O316"/>
    <mergeCell ref="P316:R316"/>
    <mergeCell ref="H317:I317"/>
    <mergeCell ref="J317:M317"/>
    <mergeCell ref="N317:O317"/>
    <mergeCell ref="P317:R317"/>
    <mergeCell ref="H318:I318"/>
    <mergeCell ref="J318:M318"/>
    <mergeCell ref="N318:O318"/>
    <mergeCell ref="P318:R318"/>
  </mergeCells>
  <conditionalFormatting sqref="E71">
    <cfRule type="expression" dxfId="13" priority="18">
      <formula>$E$72&lt;&gt;""</formula>
    </cfRule>
  </conditionalFormatting>
  <conditionalFormatting sqref="F71">
    <cfRule type="expression" dxfId="12" priority="17">
      <formula>$E$72&lt;&gt;""</formula>
    </cfRule>
  </conditionalFormatting>
  <conditionalFormatting sqref="G71">
    <cfRule type="expression" dxfId="11" priority="16">
      <formula>$E$72&lt;&gt;""</formula>
    </cfRule>
  </conditionalFormatting>
  <conditionalFormatting sqref="H71:I71">
    <cfRule type="expression" dxfId="10" priority="15">
      <formula>$E$72&lt;&gt;""</formula>
    </cfRule>
  </conditionalFormatting>
  <conditionalFormatting sqref="J71:M71">
    <cfRule type="expression" dxfId="9" priority="14">
      <formula>$E$72&lt;&gt;""</formula>
    </cfRule>
  </conditionalFormatting>
  <conditionalFormatting sqref="N71:O71">
    <cfRule type="expression" dxfId="8" priority="13">
      <formula>$E$72&lt;&gt;""</formula>
    </cfRule>
  </conditionalFormatting>
  <conditionalFormatting sqref="P71:R71">
    <cfRule type="expression" dxfId="7" priority="12">
      <formula>$E$72&lt;&gt;""</formula>
    </cfRule>
  </conditionalFormatting>
  <conditionalFormatting sqref="E72:E321">
    <cfRule type="expression" dxfId="6" priority="11">
      <formula>$E72&lt;&gt;""</formula>
    </cfRule>
  </conditionalFormatting>
  <conditionalFormatting sqref="J72:M321">
    <cfRule type="expression" dxfId="5" priority="8">
      <formula>$E72&lt;&gt;""</formula>
    </cfRule>
  </conditionalFormatting>
  <conditionalFormatting sqref="P72:R321">
    <cfRule type="expression" dxfId="4" priority="6">
      <formula>$E72&lt;&gt;""</formula>
    </cfRule>
  </conditionalFormatting>
  <conditionalFormatting sqref="F72:F321">
    <cfRule type="expression" dxfId="3" priority="4">
      <formula>$E72&lt;&gt;""</formula>
    </cfRule>
  </conditionalFormatting>
  <conditionalFormatting sqref="G72:G321">
    <cfRule type="expression" dxfId="2" priority="3">
      <formula>$E72&lt;&gt;""</formula>
    </cfRule>
  </conditionalFormatting>
  <conditionalFormatting sqref="H72:I321">
    <cfRule type="expression" dxfId="1" priority="2">
      <formula>$E72&lt;&gt;""</formula>
    </cfRule>
  </conditionalFormatting>
  <conditionalFormatting sqref="N72:O321">
    <cfRule type="expression" dxfId="0" priority="1">
      <formula>$E72&lt;&gt;""</formula>
    </cfRule>
  </conditionalFormatting>
  <dataValidations disablePrompts="1" count="1">
    <dataValidation type="list" operator="equal" allowBlank="1" showInputMessage="1" showErrorMessage="1" sqref="E35">
      <formula1>$F$23:$F$35</formula1>
      <formula2>0</formula2>
    </dataValidation>
  </dataValidations>
  <hyperlinks>
    <hyperlink ref="A3" location="'0_Datos generales organización'!A1" display="0. Datos de la organización"/>
    <hyperlink ref="A4" location="'1_Combustibles fósiles'!A1" display="1. HC Alcance 1: Comb. fósiles"/>
    <hyperlink ref="A6" location="'2_Fluorados'!A1" display="2. HC Alcance 1: Fugas fluorados"/>
    <hyperlink ref="A8" location="'3_Emisiones proceso'!A1" display="3. HC Alcance 1: Emisiones proceso"/>
    <hyperlink ref="A10" location="'4.1_Electricidad Illes Balears'!A1" display="4.1 HC 2: Electricidad I. Balears"/>
    <hyperlink ref="A12" location="'4.2_Electricidad España'!A1" display="4.2 HC 2: Electricidad España"/>
    <hyperlink ref="A14" location="'5_Información adicional'!A1" display="5. Inf. adicional: renovables"/>
    <hyperlink ref="A15" location="'6.1_Resultados Illes Balears'!A1" display="6.1 Informe final: Resultados I. Balears"/>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tabColor rgb="FFB3A2C7"/>
  </sheetPr>
  <dimension ref="A2:AR911"/>
  <sheetViews>
    <sheetView zoomScale="85" zoomScaleNormal="85" workbookViewId="0"/>
  </sheetViews>
  <sheetFormatPr baseColWidth="10" defaultColWidth="9.140625" defaultRowHeight="15" x14ac:dyDescent="0.25"/>
  <cols>
    <col min="1" max="1" width="3.7109375" customWidth="1"/>
    <col min="2" max="2" width="4" customWidth="1"/>
    <col min="3" max="3" width="30.28515625" customWidth="1"/>
    <col min="4" max="13" width="10.7109375" customWidth="1"/>
    <col min="14" max="14" width="16" customWidth="1"/>
    <col min="15" max="16" width="10.7109375" customWidth="1"/>
    <col min="17" max="17" width="22.5703125" customWidth="1"/>
    <col min="18" max="28" width="10.7109375" customWidth="1"/>
    <col min="29" max="29" width="13.85546875" customWidth="1"/>
    <col min="30" max="30" width="14.5703125" customWidth="1"/>
    <col min="31" max="32" width="10.7109375" customWidth="1"/>
    <col min="33" max="33" width="11.42578125"/>
    <col min="34" max="41" width="10.7109375" customWidth="1"/>
    <col min="42" max="42" width="13.5703125" customWidth="1"/>
    <col min="43" max="1025" width="10.7109375" customWidth="1"/>
  </cols>
  <sheetData>
    <row r="2" spans="1:34" ht="18.75" x14ac:dyDescent="0.3">
      <c r="D2" s="201" t="s">
        <v>18</v>
      </c>
      <c r="E2" s="202"/>
      <c r="F2" s="203">
        <f>'0_Datos generales organización'!G3</f>
        <v>2020</v>
      </c>
      <c r="Q2" s="204" t="s">
        <v>188</v>
      </c>
      <c r="R2" s="205"/>
      <c r="S2" s="204" t="s">
        <v>189</v>
      </c>
      <c r="T2" s="206"/>
      <c r="U2" s="206"/>
      <c r="V2" s="206"/>
      <c r="W2" s="206"/>
      <c r="X2" s="204" t="s">
        <v>190</v>
      </c>
      <c r="Y2" s="206"/>
      <c r="Z2" s="206"/>
      <c r="AA2" s="206"/>
      <c r="AB2" s="205"/>
      <c r="AC2" s="204" t="s">
        <v>191</v>
      </c>
      <c r="AD2" s="206"/>
      <c r="AE2" s="205"/>
      <c r="AF2" s="204" t="s">
        <v>192</v>
      </c>
      <c r="AG2" s="206"/>
      <c r="AH2" s="205"/>
    </row>
    <row r="3" spans="1:34" x14ac:dyDescent="0.25">
      <c r="Q3" s="207" t="s">
        <v>72</v>
      </c>
      <c r="R3" s="208"/>
      <c r="S3" s="207" t="s">
        <v>72</v>
      </c>
      <c r="T3" s="209"/>
      <c r="U3" s="209"/>
      <c r="V3" s="209"/>
      <c r="W3" s="209"/>
      <c r="X3" s="207" t="s">
        <v>86</v>
      </c>
      <c r="Y3" s="209"/>
      <c r="Z3" s="209"/>
      <c r="AA3" s="209"/>
      <c r="AB3" s="208"/>
      <c r="AC3" s="207" t="s">
        <v>193</v>
      </c>
      <c r="AD3" s="209"/>
      <c r="AE3" s="208"/>
      <c r="AF3" s="207" t="s">
        <v>193</v>
      </c>
      <c r="AG3" s="209"/>
      <c r="AH3" s="208"/>
    </row>
    <row r="4" spans="1:34" s="210" customFormat="1" x14ac:dyDescent="0.25">
      <c r="A4" s="210" t="s">
        <v>194</v>
      </c>
      <c r="Q4" s="207" t="s">
        <v>195</v>
      </c>
      <c r="R4" s="208"/>
      <c r="S4" s="207" t="s">
        <v>195</v>
      </c>
      <c r="T4" s="209"/>
      <c r="U4" s="209"/>
      <c r="V4" s="209"/>
      <c r="W4" s="209"/>
      <c r="X4" s="207" t="s">
        <v>196</v>
      </c>
      <c r="Y4" s="209"/>
      <c r="Z4" s="209"/>
      <c r="AA4" s="209"/>
      <c r="AB4" s="208"/>
      <c r="AC4" s="207" t="s">
        <v>197</v>
      </c>
      <c r="AD4" s="209"/>
      <c r="AE4" s="208"/>
      <c r="AF4" s="207" t="s">
        <v>197</v>
      </c>
      <c r="AG4" s="209"/>
      <c r="AH4" s="208"/>
    </row>
    <row r="5" spans="1:34" s="210" customFormat="1" x14ac:dyDescent="0.25">
      <c r="Q5" s="207" t="s">
        <v>198</v>
      </c>
      <c r="R5" s="208"/>
      <c r="S5" s="207" t="s">
        <v>198</v>
      </c>
      <c r="T5" s="209"/>
      <c r="U5" s="209"/>
      <c r="V5" s="209"/>
      <c r="W5" s="209"/>
      <c r="X5" s="207" t="s">
        <v>195</v>
      </c>
      <c r="Y5" s="209"/>
      <c r="Z5" s="209"/>
      <c r="AA5" s="209"/>
      <c r="AB5" s="208"/>
      <c r="AC5" s="207" t="s">
        <v>199</v>
      </c>
      <c r="AD5" s="209"/>
      <c r="AE5" s="208"/>
      <c r="AF5" s="207" t="s">
        <v>199</v>
      </c>
      <c r="AG5" s="209"/>
      <c r="AH5" s="208"/>
    </row>
    <row r="6" spans="1:34" x14ac:dyDescent="0.25">
      <c r="C6" s="210" t="s">
        <v>200</v>
      </c>
      <c r="D6" s="210" t="s">
        <v>201</v>
      </c>
      <c r="E6" s="210" t="s">
        <v>202</v>
      </c>
      <c r="Q6" s="207" t="s">
        <v>203</v>
      </c>
      <c r="R6" s="208"/>
      <c r="S6" s="207" t="s">
        <v>203</v>
      </c>
      <c r="T6" s="209"/>
      <c r="U6" s="209"/>
      <c r="V6" s="209"/>
      <c r="W6" s="209"/>
      <c r="X6" s="207" t="s">
        <v>193</v>
      </c>
      <c r="Y6" s="209"/>
      <c r="Z6" s="209"/>
      <c r="AA6" s="209"/>
      <c r="AB6" s="208"/>
      <c r="AC6" s="207" t="s">
        <v>204</v>
      </c>
      <c r="AD6" s="209"/>
      <c r="AE6" s="208"/>
      <c r="AF6" s="207" t="s">
        <v>204</v>
      </c>
      <c r="AG6" s="209"/>
      <c r="AH6" s="208"/>
    </row>
    <row r="7" spans="1:34" x14ac:dyDescent="0.25">
      <c r="C7">
        <v>2020</v>
      </c>
      <c r="D7" t="s">
        <v>205</v>
      </c>
      <c r="E7" t="s">
        <v>206</v>
      </c>
      <c r="Q7" s="207" t="s">
        <v>207</v>
      </c>
      <c r="R7" s="208"/>
      <c r="S7" s="207" t="s">
        <v>207</v>
      </c>
      <c r="T7" s="209"/>
      <c r="U7" s="209"/>
      <c r="V7" s="209"/>
      <c r="W7" s="209"/>
      <c r="X7" s="207" t="s">
        <v>197</v>
      </c>
      <c r="Y7" s="209"/>
      <c r="Z7" s="209"/>
      <c r="AA7" s="209"/>
      <c r="AB7" s="208"/>
      <c r="AC7" s="207" t="s">
        <v>208</v>
      </c>
      <c r="AD7" s="209"/>
      <c r="AE7" s="208"/>
      <c r="AF7" s="207" t="s">
        <v>208</v>
      </c>
      <c r="AG7" s="209"/>
      <c r="AH7" s="208"/>
    </row>
    <row r="8" spans="1:34" x14ac:dyDescent="0.25">
      <c r="C8">
        <v>2019</v>
      </c>
      <c r="D8" t="s">
        <v>209</v>
      </c>
      <c r="E8" t="s">
        <v>210</v>
      </c>
      <c r="Q8" s="207" t="s">
        <v>211</v>
      </c>
      <c r="R8" s="208"/>
      <c r="S8" s="207" t="s">
        <v>211</v>
      </c>
      <c r="T8" s="209"/>
      <c r="U8" s="209"/>
      <c r="V8" s="209"/>
      <c r="W8" s="209"/>
      <c r="X8" s="207" t="s">
        <v>199</v>
      </c>
      <c r="Y8" s="209"/>
      <c r="Z8" s="209"/>
      <c r="AA8" s="209"/>
      <c r="AB8" s="208"/>
      <c r="AC8" s="207" t="s">
        <v>212</v>
      </c>
      <c r="AD8" s="209"/>
      <c r="AE8" s="208"/>
      <c r="AF8" s="207" t="s">
        <v>212</v>
      </c>
      <c r="AG8" s="209"/>
      <c r="AH8" s="208"/>
    </row>
    <row r="9" spans="1:34" x14ac:dyDescent="0.25">
      <c r="C9">
        <v>2018</v>
      </c>
      <c r="D9" t="s">
        <v>25</v>
      </c>
      <c r="E9" t="s">
        <v>213</v>
      </c>
      <c r="Q9" s="207" t="s">
        <v>214</v>
      </c>
      <c r="R9" s="208"/>
      <c r="S9" s="207" t="s">
        <v>214</v>
      </c>
      <c r="T9" s="209"/>
      <c r="U9" s="209"/>
      <c r="V9" s="209"/>
      <c r="W9" s="209"/>
      <c r="X9" s="207" t="s">
        <v>204</v>
      </c>
      <c r="Y9" s="209"/>
      <c r="Z9" s="209"/>
      <c r="AA9" s="209"/>
      <c r="AB9" s="208"/>
      <c r="AC9" s="207" t="s">
        <v>215</v>
      </c>
      <c r="AD9" s="209"/>
      <c r="AE9" s="208"/>
      <c r="AF9" s="207" t="s">
        <v>215</v>
      </c>
      <c r="AG9" s="209"/>
      <c r="AH9" s="208"/>
    </row>
    <row r="10" spans="1:34" x14ac:dyDescent="0.25">
      <c r="C10">
        <v>2017</v>
      </c>
      <c r="D10" t="s">
        <v>216</v>
      </c>
      <c r="E10" t="s">
        <v>217</v>
      </c>
      <c r="Q10" s="207" t="s">
        <v>218</v>
      </c>
      <c r="R10" s="208"/>
      <c r="S10" s="207" t="s">
        <v>218</v>
      </c>
      <c r="T10" s="209"/>
      <c r="U10" s="209"/>
      <c r="V10" s="209"/>
      <c r="W10" s="209"/>
      <c r="X10" s="207" t="s">
        <v>208</v>
      </c>
      <c r="Y10" s="209"/>
      <c r="Z10" s="209"/>
      <c r="AA10" s="209"/>
      <c r="AB10" s="208"/>
      <c r="AC10" s="207" t="s">
        <v>219</v>
      </c>
      <c r="AD10" s="209"/>
      <c r="AE10" s="208"/>
      <c r="AF10" s="207" t="s">
        <v>219</v>
      </c>
      <c r="AG10" s="209"/>
      <c r="AH10" s="208"/>
    </row>
    <row r="11" spans="1:34" x14ac:dyDescent="0.25">
      <c r="C11">
        <v>2016</v>
      </c>
      <c r="D11" t="s">
        <v>220</v>
      </c>
      <c r="E11" t="s">
        <v>221</v>
      </c>
      <c r="Q11" s="207" t="s">
        <v>222</v>
      </c>
      <c r="R11" s="208"/>
      <c r="S11" s="207" t="s">
        <v>222</v>
      </c>
      <c r="T11" s="209"/>
      <c r="U11" s="209"/>
      <c r="V11" s="209"/>
      <c r="W11" s="209"/>
      <c r="X11" s="207" t="s">
        <v>212</v>
      </c>
      <c r="Y11" s="209"/>
      <c r="Z11" s="209"/>
      <c r="AA11" s="209"/>
      <c r="AB11" s="208"/>
      <c r="AC11" s="207" t="s">
        <v>223</v>
      </c>
      <c r="AD11" s="209"/>
      <c r="AE11" s="208"/>
      <c r="AF11" s="207" t="s">
        <v>223</v>
      </c>
      <c r="AG11" s="209"/>
      <c r="AH11" s="208"/>
    </row>
    <row r="12" spans="1:34" x14ac:dyDescent="0.25">
      <c r="C12">
        <v>2015</v>
      </c>
      <c r="D12" t="s">
        <v>224</v>
      </c>
      <c r="E12" t="s">
        <v>30</v>
      </c>
      <c r="Q12" s="207" t="s">
        <v>225</v>
      </c>
      <c r="R12" s="208"/>
      <c r="S12" s="207" t="s">
        <v>225</v>
      </c>
      <c r="T12" s="209"/>
      <c r="U12" s="209"/>
      <c r="V12" s="209"/>
      <c r="W12" s="209"/>
      <c r="X12" s="207" t="s">
        <v>215</v>
      </c>
      <c r="Y12" s="209"/>
      <c r="Z12" s="209"/>
      <c r="AA12" s="209"/>
      <c r="AB12" s="208"/>
      <c r="AC12" s="207" t="s">
        <v>195</v>
      </c>
      <c r="AD12" s="209"/>
      <c r="AE12" s="208"/>
      <c r="AF12" s="207" t="s">
        <v>195</v>
      </c>
      <c r="AG12" s="209"/>
      <c r="AH12" s="208"/>
    </row>
    <row r="13" spans="1:34" x14ac:dyDescent="0.25">
      <c r="C13">
        <v>2014</v>
      </c>
      <c r="D13" t="s">
        <v>1003</v>
      </c>
      <c r="E13" t="s">
        <v>226</v>
      </c>
      <c r="Q13" s="207" t="s">
        <v>227</v>
      </c>
      <c r="R13" s="208"/>
      <c r="S13" s="207" t="s">
        <v>227</v>
      </c>
      <c r="T13" s="209"/>
      <c r="U13" s="209"/>
      <c r="V13" s="209"/>
      <c r="W13" s="209"/>
      <c r="X13" s="207" t="s">
        <v>219</v>
      </c>
      <c r="Y13" s="209"/>
      <c r="Z13" s="209"/>
      <c r="AA13" s="209"/>
      <c r="AB13" s="208"/>
      <c r="AC13" s="207" t="s">
        <v>228</v>
      </c>
      <c r="AD13" s="209"/>
      <c r="AE13" s="208"/>
      <c r="AF13" s="207" t="s">
        <v>228</v>
      </c>
      <c r="AG13" s="209"/>
      <c r="AH13" s="208"/>
    </row>
    <row r="14" spans="1:34" x14ac:dyDescent="0.25">
      <c r="C14">
        <v>2013</v>
      </c>
      <c r="D14" t="s">
        <v>84</v>
      </c>
      <c r="E14" t="s">
        <v>229</v>
      </c>
      <c r="Q14" s="207" t="s">
        <v>230</v>
      </c>
      <c r="R14" s="208"/>
      <c r="S14" s="207" t="s">
        <v>230</v>
      </c>
      <c r="T14" s="209"/>
      <c r="U14" s="209"/>
      <c r="V14" s="209"/>
      <c r="W14" s="209"/>
      <c r="X14" s="207" t="s">
        <v>223</v>
      </c>
      <c r="Y14" s="209"/>
      <c r="Z14" s="209"/>
      <c r="AA14" s="209"/>
      <c r="AB14" s="208"/>
      <c r="AC14" s="207" t="s">
        <v>203</v>
      </c>
      <c r="AD14" s="209"/>
      <c r="AE14" s="208"/>
      <c r="AF14" s="207" t="s">
        <v>231</v>
      </c>
      <c r="AG14" s="209"/>
      <c r="AH14" s="208"/>
    </row>
    <row r="15" spans="1:34" x14ac:dyDescent="0.25">
      <c r="C15">
        <v>2012</v>
      </c>
      <c r="E15" t="s">
        <v>232</v>
      </c>
      <c r="Q15" s="207" t="s">
        <v>86</v>
      </c>
      <c r="R15" s="208"/>
      <c r="S15" s="207" t="s">
        <v>193</v>
      </c>
      <c r="T15" s="209"/>
      <c r="U15" s="209"/>
      <c r="V15" s="209"/>
      <c r="W15" s="209"/>
      <c r="X15" s="207" t="s">
        <v>228</v>
      </c>
      <c r="Y15" s="209"/>
      <c r="Z15" s="209"/>
      <c r="AA15" s="209"/>
      <c r="AB15" s="208"/>
      <c r="AC15" s="207" t="s">
        <v>207</v>
      </c>
      <c r="AD15" s="209"/>
      <c r="AE15" s="208"/>
      <c r="AF15" s="207" t="s">
        <v>233</v>
      </c>
      <c r="AG15" s="209"/>
      <c r="AH15" s="208"/>
    </row>
    <row r="16" spans="1:34" x14ac:dyDescent="0.25">
      <c r="C16">
        <v>2011</v>
      </c>
      <c r="E16" t="s">
        <v>234</v>
      </c>
      <c r="Q16" s="207" t="s">
        <v>196</v>
      </c>
      <c r="R16" s="208"/>
      <c r="S16" s="207" t="s">
        <v>197</v>
      </c>
      <c r="T16" s="209"/>
      <c r="U16" s="209"/>
      <c r="V16" s="209"/>
      <c r="W16" s="209"/>
      <c r="X16" s="207" t="s">
        <v>203</v>
      </c>
      <c r="Y16" s="209"/>
      <c r="Z16" s="209"/>
      <c r="AA16" s="209"/>
      <c r="AB16" s="208"/>
      <c r="AC16" s="207" t="s">
        <v>211</v>
      </c>
      <c r="AD16" s="209"/>
      <c r="AE16" s="208"/>
      <c r="AF16" s="207" t="s">
        <v>211</v>
      </c>
      <c r="AG16" s="209"/>
      <c r="AH16" s="208"/>
    </row>
    <row r="17" spans="3:34" x14ac:dyDescent="0.25">
      <c r="E17" t="s">
        <v>235</v>
      </c>
      <c r="Q17" s="207" t="s">
        <v>193</v>
      </c>
      <c r="R17" s="208"/>
      <c r="S17" s="207" t="s">
        <v>199</v>
      </c>
      <c r="T17" s="209"/>
      <c r="U17" s="209"/>
      <c r="V17" s="209"/>
      <c r="W17" s="209"/>
      <c r="X17" s="207" t="s">
        <v>207</v>
      </c>
      <c r="Y17" s="209"/>
      <c r="Z17" s="209"/>
      <c r="AA17" s="209"/>
      <c r="AB17" s="208"/>
      <c r="AC17" s="207" t="s">
        <v>236</v>
      </c>
      <c r="AD17" s="209"/>
      <c r="AE17" s="208"/>
      <c r="AF17" s="207" t="s">
        <v>236</v>
      </c>
      <c r="AG17" s="209"/>
      <c r="AH17" s="208"/>
    </row>
    <row r="18" spans="3:34" x14ac:dyDescent="0.25">
      <c r="E18" t="s">
        <v>237</v>
      </c>
      <c r="Q18" s="207" t="s">
        <v>197</v>
      </c>
      <c r="R18" s="208"/>
      <c r="S18" s="207" t="s">
        <v>204</v>
      </c>
      <c r="T18" s="209"/>
      <c r="U18" s="209"/>
      <c r="V18" s="209"/>
      <c r="W18" s="209"/>
      <c r="X18" s="207" t="s">
        <v>211</v>
      </c>
      <c r="Y18" s="209"/>
      <c r="Z18" s="209"/>
      <c r="AA18" s="209"/>
      <c r="AB18" s="208"/>
      <c r="AC18" s="207" t="s">
        <v>222</v>
      </c>
      <c r="AD18" s="209"/>
      <c r="AE18" s="208"/>
      <c r="AF18" s="207" t="s">
        <v>222</v>
      </c>
      <c r="AG18" s="209"/>
      <c r="AH18" s="208"/>
    </row>
    <row r="19" spans="3:34" x14ac:dyDescent="0.25">
      <c r="E19" t="s">
        <v>238</v>
      </c>
      <c r="Q19" s="207" t="s">
        <v>199</v>
      </c>
      <c r="R19" s="208"/>
      <c r="S19" s="207" t="s">
        <v>208</v>
      </c>
      <c r="T19" s="209"/>
      <c r="U19" s="209"/>
      <c r="V19" s="209"/>
      <c r="W19" s="209"/>
      <c r="X19" s="207" t="s">
        <v>236</v>
      </c>
      <c r="Y19" s="209"/>
      <c r="Z19" s="209"/>
      <c r="AA19" s="209"/>
      <c r="AB19" s="208"/>
      <c r="AC19" s="207"/>
      <c r="AD19" s="209"/>
      <c r="AE19" s="208"/>
      <c r="AF19" s="207"/>
      <c r="AG19" s="209"/>
      <c r="AH19" s="208"/>
    </row>
    <row r="20" spans="3:34" x14ac:dyDescent="0.25">
      <c r="E20" t="s">
        <v>239</v>
      </c>
      <c r="Q20" s="207" t="s">
        <v>204</v>
      </c>
      <c r="R20" s="208"/>
      <c r="S20" s="207" t="s">
        <v>212</v>
      </c>
      <c r="T20" s="209"/>
      <c r="U20" s="209"/>
      <c r="V20" s="209"/>
      <c r="W20" s="209"/>
      <c r="X20" s="207" t="s">
        <v>222</v>
      </c>
      <c r="Y20" s="209"/>
      <c r="Z20" s="209"/>
      <c r="AA20" s="209"/>
      <c r="AB20" s="208"/>
      <c r="AC20" s="207"/>
      <c r="AD20" s="209"/>
      <c r="AE20" s="208"/>
      <c r="AF20" s="207"/>
      <c r="AG20" s="209"/>
      <c r="AH20" s="208"/>
    </row>
    <row r="21" spans="3:34" x14ac:dyDescent="0.25">
      <c r="E21" t="s">
        <v>240</v>
      </c>
      <c r="Q21" s="207" t="s">
        <v>208</v>
      </c>
      <c r="R21" s="208"/>
      <c r="S21" s="207" t="s">
        <v>215</v>
      </c>
      <c r="T21" s="209"/>
      <c r="U21" s="209"/>
      <c r="V21" s="209"/>
      <c r="W21" s="209"/>
      <c r="X21" s="207"/>
      <c r="Y21" s="209"/>
      <c r="Z21" s="209"/>
      <c r="AA21" s="209"/>
      <c r="AB21" s="208"/>
      <c r="AC21" s="211" t="s">
        <v>241</v>
      </c>
      <c r="AD21" s="209"/>
      <c r="AE21" s="208"/>
      <c r="AF21" s="211" t="s">
        <v>241</v>
      </c>
      <c r="AG21" s="209"/>
      <c r="AH21" s="208"/>
    </row>
    <row r="22" spans="3:34" x14ac:dyDescent="0.25">
      <c r="E22" t="s">
        <v>242</v>
      </c>
      <c r="Q22" s="207" t="s">
        <v>212</v>
      </c>
      <c r="R22" s="208"/>
      <c r="S22" s="207" t="s">
        <v>219</v>
      </c>
      <c r="T22" s="209"/>
      <c r="U22" s="209"/>
      <c r="V22" s="209"/>
      <c r="W22" s="209"/>
      <c r="X22" s="207"/>
      <c r="Y22" s="209"/>
      <c r="Z22" s="209"/>
      <c r="AA22" s="209"/>
      <c r="AB22" s="208"/>
      <c r="AC22" s="212" t="s">
        <v>86</v>
      </c>
      <c r="AD22" s="209"/>
      <c r="AE22" s="208"/>
      <c r="AF22" s="212" t="s">
        <v>86</v>
      </c>
      <c r="AG22" s="209"/>
      <c r="AH22" s="208"/>
    </row>
    <row r="23" spans="3:34" x14ac:dyDescent="0.25">
      <c r="E23" t="s">
        <v>243</v>
      </c>
      <c r="Q23" s="207" t="s">
        <v>215</v>
      </c>
      <c r="R23" s="208"/>
      <c r="S23" s="207" t="s">
        <v>223</v>
      </c>
      <c r="T23" s="209"/>
      <c r="U23" s="209"/>
      <c r="V23" s="209"/>
      <c r="W23" s="209"/>
      <c r="X23" s="211" t="s">
        <v>244</v>
      </c>
      <c r="Y23" s="209"/>
      <c r="Z23" s="209"/>
      <c r="AA23" s="209"/>
      <c r="AB23" s="208"/>
      <c r="AC23" s="213" t="s">
        <v>196</v>
      </c>
      <c r="AD23" s="214"/>
      <c r="AE23" s="215"/>
      <c r="AF23" s="213" t="s">
        <v>196</v>
      </c>
      <c r="AG23" s="214"/>
      <c r="AH23" s="215"/>
    </row>
    <row r="24" spans="3:34" x14ac:dyDescent="0.25">
      <c r="C24" s="216"/>
      <c r="D24" s="216"/>
      <c r="E24" t="s">
        <v>245</v>
      </c>
      <c r="Q24" s="207" t="s">
        <v>219</v>
      </c>
      <c r="R24" s="208"/>
      <c r="S24" s="207"/>
      <c r="T24" s="209"/>
      <c r="U24" s="209"/>
      <c r="V24" s="209"/>
      <c r="W24" s="209"/>
      <c r="X24" s="212" t="s">
        <v>198</v>
      </c>
      <c r="Y24" s="209"/>
      <c r="Z24" s="209"/>
      <c r="AA24" s="209"/>
      <c r="AB24" s="208"/>
      <c r="AC24" s="217"/>
      <c r="AD24" s="217"/>
      <c r="AE24" s="217"/>
    </row>
    <row r="25" spans="3:34" x14ac:dyDescent="0.25">
      <c r="C25" s="216"/>
      <c r="D25" s="216"/>
      <c r="E25" t="s">
        <v>246</v>
      </c>
      <c r="Q25" s="207" t="s">
        <v>223</v>
      </c>
      <c r="R25" s="208"/>
      <c r="S25" s="207"/>
      <c r="T25" s="209"/>
      <c r="U25" s="209"/>
      <c r="V25" s="209"/>
      <c r="W25" s="209"/>
      <c r="X25" s="212" t="s">
        <v>72</v>
      </c>
      <c r="Y25" s="209"/>
      <c r="Z25" s="209"/>
      <c r="AA25" s="209"/>
      <c r="AB25" s="208"/>
      <c r="AC25" s="217"/>
      <c r="AD25" s="217"/>
      <c r="AE25" s="217"/>
    </row>
    <row r="26" spans="3:34" x14ac:dyDescent="0.25">
      <c r="C26" s="216"/>
      <c r="D26" s="216"/>
      <c r="E26" t="s">
        <v>247</v>
      </c>
      <c r="Q26" s="218"/>
      <c r="R26" s="219"/>
      <c r="S26" s="211" t="s">
        <v>241</v>
      </c>
      <c r="T26" s="209"/>
      <c r="U26" s="209"/>
      <c r="V26" s="209"/>
      <c r="W26" s="209"/>
      <c r="X26" s="212" t="s">
        <v>214</v>
      </c>
      <c r="Y26" s="209"/>
      <c r="Z26" s="209"/>
      <c r="AA26" s="220"/>
      <c r="AB26" s="219"/>
    </row>
    <row r="27" spans="3:34" x14ac:dyDescent="0.25">
      <c r="C27" s="216"/>
      <c r="D27" s="216"/>
      <c r="E27" t="s">
        <v>248</v>
      </c>
      <c r="Q27" s="218"/>
      <c r="R27" s="219"/>
      <c r="S27" s="212" t="s">
        <v>86</v>
      </c>
      <c r="T27" s="209"/>
      <c r="U27" s="209"/>
      <c r="V27" s="209"/>
      <c r="W27" s="209"/>
      <c r="X27" s="212" t="s">
        <v>218</v>
      </c>
      <c r="Y27" s="209"/>
      <c r="Z27" s="209"/>
      <c r="AA27" s="209"/>
      <c r="AB27" s="219"/>
    </row>
    <row r="28" spans="3:34" x14ac:dyDescent="0.25">
      <c r="C28" s="216"/>
      <c r="D28" s="216"/>
      <c r="Q28" s="211" t="s">
        <v>249</v>
      </c>
      <c r="R28" s="208"/>
      <c r="S28" s="213" t="s">
        <v>196</v>
      </c>
      <c r="T28" s="214"/>
      <c r="U28" s="214"/>
      <c r="V28" s="214"/>
      <c r="W28" s="214"/>
      <c r="X28" s="212" t="s">
        <v>225</v>
      </c>
      <c r="Y28" s="209"/>
      <c r="Z28" s="209"/>
      <c r="AA28" s="209"/>
      <c r="AB28" s="208"/>
      <c r="AC28" s="217"/>
    </row>
    <row r="29" spans="3:34" x14ac:dyDescent="0.25">
      <c r="C29" s="221" t="s">
        <v>250</v>
      </c>
      <c r="D29" s="216"/>
      <c r="Q29" s="212" t="s">
        <v>228</v>
      </c>
      <c r="R29" s="208"/>
      <c r="S29" s="217"/>
      <c r="T29" s="217"/>
      <c r="U29" s="217"/>
      <c r="V29" s="217"/>
      <c r="W29" s="217"/>
      <c r="X29" s="212" t="s">
        <v>227</v>
      </c>
      <c r="Y29" s="209"/>
      <c r="Z29" s="209"/>
      <c r="AA29" s="209"/>
      <c r="AB29" s="208"/>
      <c r="AC29" s="217"/>
      <c r="AD29" s="217"/>
      <c r="AE29" s="217"/>
    </row>
    <row r="30" spans="3:34" x14ac:dyDescent="0.25">
      <c r="C30" s="210">
        <v>2011</v>
      </c>
      <c r="D30" s="210">
        <v>2012</v>
      </c>
      <c r="E30" s="210">
        <v>2013</v>
      </c>
      <c r="F30" s="210">
        <v>2014</v>
      </c>
      <c r="G30" s="210">
        <v>2015</v>
      </c>
      <c r="H30" s="210">
        <v>2016</v>
      </c>
      <c r="I30" s="210">
        <v>2017</v>
      </c>
      <c r="J30" s="210">
        <v>2018</v>
      </c>
      <c r="K30" s="210">
        <v>2019</v>
      </c>
      <c r="L30" s="210">
        <v>2020</v>
      </c>
      <c r="Q30" s="213" t="s">
        <v>236</v>
      </c>
      <c r="R30" s="215"/>
      <c r="S30" s="217"/>
      <c r="T30" s="217"/>
      <c r="U30" s="217"/>
      <c r="V30" s="217"/>
      <c r="W30" s="217"/>
      <c r="X30" s="212" t="s">
        <v>230</v>
      </c>
      <c r="Y30" s="209"/>
      <c r="Z30" s="209"/>
      <c r="AA30" s="209"/>
      <c r="AB30" s="208"/>
      <c r="AC30" s="217"/>
      <c r="AD30" s="217"/>
      <c r="AE30" s="217"/>
    </row>
    <row r="31" spans="3:34" x14ac:dyDescent="0.25">
      <c r="C31" s="210" t="s">
        <v>251</v>
      </c>
      <c r="D31" s="210" t="s">
        <v>252</v>
      </c>
      <c r="E31" s="210" t="s">
        <v>253</v>
      </c>
      <c r="F31" s="210" t="s">
        <v>254</v>
      </c>
      <c r="G31" s="210" t="s">
        <v>255</v>
      </c>
      <c r="H31" s="210" t="s">
        <v>256</v>
      </c>
      <c r="I31" s="210" t="s">
        <v>257</v>
      </c>
      <c r="J31" s="210" t="s">
        <v>258</v>
      </c>
      <c r="K31" s="210" t="s">
        <v>259</v>
      </c>
      <c r="L31" s="222" t="s">
        <v>260</v>
      </c>
      <c r="Q31" s="217"/>
      <c r="R31" s="217"/>
      <c r="S31" s="217"/>
      <c r="T31" s="217"/>
      <c r="U31" s="217"/>
      <c r="V31" s="217"/>
      <c r="W31" s="217"/>
      <c r="X31" s="207"/>
      <c r="Y31" s="209"/>
      <c r="Z31" s="209"/>
      <c r="AA31" s="209"/>
      <c r="AB31" s="208"/>
      <c r="AC31" s="217"/>
      <c r="AD31" s="217"/>
      <c r="AE31" s="217"/>
    </row>
    <row r="32" spans="3:34" x14ac:dyDescent="0.25">
      <c r="C32" t="s">
        <v>261</v>
      </c>
      <c r="D32" t="s">
        <v>261</v>
      </c>
      <c r="E32" t="s">
        <v>261</v>
      </c>
      <c r="F32" t="s">
        <v>261</v>
      </c>
      <c r="G32" t="s">
        <v>261</v>
      </c>
      <c r="H32" t="s">
        <v>261</v>
      </c>
      <c r="I32" t="s">
        <v>261</v>
      </c>
      <c r="J32" t="s">
        <v>261</v>
      </c>
      <c r="K32" t="s">
        <v>261</v>
      </c>
      <c r="L32" t="s">
        <v>261</v>
      </c>
      <c r="Q32" s="217"/>
      <c r="R32" s="217"/>
      <c r="S32" s="217"/>
      <c r="T32" s="217"/>
      <c r="U32" s="217"/>
      <c r="V32" s="217"/>
      <c r="W32" s="217"/>
      <c r="X32" s="223" t="s">
        <v>262</v>
      </c>
      <c r="Y32" s="209"/>
      <c r="Z32" s="209"/>
      <c r="AA32" s="209"/>
      <c r="AB32" s="208"/>
      <c r="AC32" s="217"/>
      <c r="AD32" s="217"/>
      <c r="AE32" s="217"/>
    </row>
    <row r="33" spans="3:31" x14ac:dyDescent="0.25">
      <c r="C33" s="209" t="s">
        <v>72</v>
      </c>
      <c r="D33" s="209" t="s">
        <v>72</v>
      </c>
      <c r="E33" s="209" t="s">
        <v>72</v>
      </c>
      <c r="F33" s="209" t="s">
        <v>72</v>
      </c>
      <c r="G33" s="209" t="s">
        <v>72</v>
      </c>
      <c r="H33" s="209" t="s">
        <v>72</v>
      </c>
      <c r="I33" s="209" t="s">
        <v>72</v>
      </c>
      <c r="J33" s="209" t="s">
        <v>72</v>
      </c>
      <c r="K33" s="209" t="s">
        <v>72</v>
      </c>
      <c r="L33" s="209" t="s">
        <v>72</v>
      </c>
      <c r="Q33" s="217"/>
      <c r="R33" s="217"/>
      <c r="S33" s="217"/>
      <c r="T33" s="217"/>
      <c r="U33" s="217"/>
      <c r="V33" s="217"/>
      <c r="W33" s="217"/>
      <c r="X33" s="212" t="s">
        <v>228</v>
      </c>
      <c r="Y33" s="209"/>
      <c r="Z33" s="209"/>
      <c r="AA33" s="209"/>
      <c r="AB33" s="208"/>
      <c r="AC33" s="217"/>
      <c r="AD33" s="217"/>
      <c r="AE33" s="217"/>
    </row>
    <row r="34" spans="3:31" x14ac:dyDescent="0.25">
      <c r="C34" s="209" t="s">
        <v>195</v>
      </c>
      <c r="D34" s="209" t="s">
        <v>195</v>
      </c>
      <c r="E34" s="209" t="s">
        <v>195</v>
      </c>
      <c r="F34" s="209" t="s">
        <v>195</v>
      </c>
      <c r="G34" s="209" t="s">
        <v>195</v>
      </c>
      <c r="H34" s="209" t="s">
        <v>195</v>
      </c>
      <c r="I34" s="209" t="s">
        <v>195</v>
      </c>
      <c r="J34" s="209" t="s">
        <v>195</v>
      </c>
      <c r="K34" s="209" t="s">
        <v>195</v>
      </c>
      <c r="L34" s="209" t="s">
        <v>195</v>
      </c>
      <c r="Q34" s="217"/>
      <c r="R34" s="217"/>
      <c r="S34" s="217"/>
      <c r="T34" s="217"/>
      <c r="U34" s="217"/>
      <c r="V34" s="217"/>
      <c r="W34" s="217"/>
      <c r="X34" s="213" t="s">
        <v>236</v>
      </c>
      <c r="Y34" s="214"/>
      <c r="Z34" s="214"/>
      <c r="AA34" s="214"/>
      <c r="AB34" s="215"/>
      <c r="AC34" s="217"/>
      <c r="AD34" s="217"/>
      <c r="AE34" s="217"/>
    </row>
    <row r="35" spans="3:31" x14ac:dyDescent="0.25">
      <c r="C35" s="209" t="s">
        <v>198</v>
      </c>
      <c r="D35" s="209" t="s">
        <v>198</v>
      </c>
      <c r="E35" s="209" t="s">
        <v>198</v>
      </c>
      <c r="F35" s="209" t="s">
        <v>198</v>
      </c>
      <c r="G35" s="209" t="s">
        <v>198</v>
      </c>
      <c r="H35" s="209" t="s">
        <v>198</v>
      </c>
      <c r="I35" s="209" t="s">
        <v>198</v>
      </c>
      <c r="J35" s="209" t="s">
        <v>198</v>
      </c>
      <c r="K35" s="209" t="s">
        <v>198</v>
      </c>
      <c r="L35" s="209" t="s">
        <v>198</v>
      </c>
      <c r="AD35" s="217"/>
      <c r="AE35" s="217"/>
    </row>
    <row r="36" spans="3:31" x14ac:dyDescent="0.25">
      <c r="C36" s="209" t="s">
        <v>203</v>
      </c>
      <c r="D36" s="209" t="s">
        <v>203</v>
      </c>
      <c r="E36" s="209" t="s">
        <v>203</v>
      </c>
      <c r="F36" s="209" t="s">
        <v>203</v>
      </c>
      <c r="G36" s="209" t="s">
        <v>203</v>
      </c>
      <c r="H36" s="209" t="s">
        <v>203</v>
      </c>
      <c r="I36" s="209" t="s">
        <v>203</v>
      </c>
      <c r="J36" s="209" t="s">
        <v>203</v>
      </c>
      <c r="K36" s="209" t="s">
        <v>203</v>
      </c>
      <c r="L36" s="209" t="s">
        <v>203</v>
      </c>
    </row>
    <row r="37" spans="3:31" x14ac:dyDescent="0.25">
      <c r="C37" s="209" t="s">
        <v>207</v>
      </c>
      <c r="D37" s="209" t="s">
        <v>207</v>
      </c>
      <c r="E37" s="209" t="s">
        <v>207</v>
      </c>
      <c r="F37" s="209" t="s">
        <v>207</v>
      </c>
      <c r="G37" s="209" t="s">
        <v>207</v>
      </c>
      <c r="H37" s="209" t="s">
        <v>207</v>
      </c>
      <c r="I37" s="209" t="s">
        <v>207</v>
      </c>
      <c r="J37" s="209" t="s">
        <v>207</v>
      </c>
      <c r="K37" s="209" t="s">
        <v>207</v>
      </c>
      <c r="L37" s="209" t="s">
        <v>207</v>
      </c>
    </row>
    <row r="38" spans="3:31" x14ac:dyDescent="0.25">
      <c r="C38" s="209" t="s">
        <v>211</v>
      </c>
      <c r="D38" s="209" t="s">
        <v>211</v>
      </c>
      <c r="E38" s="209" t="s">
        <v>211</v>
      </c>
      <c r="F38" s="209" t="s">
        <v>211</v>
      </c>
      <c r="G38" s="209" t="s">
        <v>211</v>
      </c>
      <c r="H38" s="209" t="s">
        <v>211</v>
      </c>
      <c r="I38" s="209" t="s">
        <v>211</v>
      </c>
      <c r="J38" s="209" t="s">
        <v>211</v>
      </c>
      <c r="K38" s="209" t="s">
        <v>211</v>
      </c>
      <c r="L38" s="209" t="s">
        <v>211</v>
      </c>
    </row>
    <row r="39" spans="3:31" x14ac:dyDescent="0.25">
      <c r="C39" s="209" t="s">
        <v>214</v>
      </c>
      <c r="D39" s="209" t="s">
        <v>214</v>
      </c>
      <c r="E39" s="209" t="s">
        <v>214</v>
      </c>
      <c r="F39" s="209" t="s">
        <v>214</v>
      </c>
      <c r="G39" s="209" t="s">
        <v>214</v>
      </c>
      <c r="H39" s="209" t="s">
        <v>214</v>
      </c>
      <c r="I39" s="209" t="s">
        <v>214</v>
      </c>
      <c r="J39" s="209" t="s">
        <v>214</v>
      </c>
      <c r="K39" s="209" t="s">
        <v>214</v>
      </c>
      <c r="L39" s="209" t="s">
        <v>214</v>
      </c>
    </row>
    <row r="40" spans="3:31" x14ac:dyDescent="0.25">
      <c r="C40" s="209" t="s">
        <v>263</v>
      </c>
      <c r="D40" s="209" t="s">
        <v>263</v>
      </c>
      <c r="E40" s="209" t="s">
        <v>263</v>
      </c>
      <c r="F40" s="209" t="s">
        <v>263</v>
      </c>
      <c r="G40" s="209" t="s">
        <v>263</v>
      </c>
      <c r="H40" s="209" t="s">
        <v>263</v>
      </c>
      <c r="I40" s="209" t="s">
        <v>263</v>
      </c>
      <c r="J40" s="209" t="s">
        <v>263</v>
      </c>
      <c r="K40" s="209" t="s">
        <v>263</v>
      </c>
      <c r="L40" s="209" t="s">
        <v>263</v>
      </c>
    </row>
    <row r="41" spans="3:31" x14ac:dyDescent="0.25">
      <c r="C41" s="209" t="s">
        <v>222</v>
      </c>
      <c r="D41" s="209" t="s">
        <v>222</v>
      </c>
      <c r="E41" s="209" t="s">
        <v>222</v>
      </c>
      <c r="F41" s="209" t="s">
        <v>222</v>
      </c>
      <c r="G41" s="209" t="s">
        <v>222</v>
      </c>
      <c r="H41" s="209" t="s">
        <v>222</v>
      </c>
      <c r="I41" s="209" t="s">
        <v>222</v>
      </c>
      <c r="J41" s="209" t="s">
        <v>222</v>
      </c>
      <c r="K41" s="209" t="s">
        <v>222</v>
      </c>
      <c r="L41" s="209" t="s">
        <v>222</v>
      </c>
    </row>
    <row r="42" spans="3:31" x14ac:dyDescent="0.25">
      <c r="C42" s="209" t="s">
        <v>225</v>
      </c>
      <c r="D42" s="209" t="s">
        <v>225</v>
      </c>
      <c r="E42" s="209" t="s">
        <v>225</v>
      </c>
      <c r="F42" s="209" t="s">
        <v>225</v>
      </c>
      <c r="G42" s="209" t="s">
        <v>225</v>
      </c>
      <c r="H42" s="209" t="s">
        <v>225</v>
      </c>
      <c r="I42" s="209" t="s">
        <v>225</v>
      </c>
      <c r="J42" s="209" t="s">
        <v>225</v>
      </c>
      <c r="K42" s="209" t="s">
        <v>225</v>
      </c>
      <c r="L42" s="209" t="s">
        <v>225</v>
      </c>
    </row>
    <row r="43" spans="3:31" x14ac:dyDescent="0.25">
      <c r="C43" s="209" t="s">
        <v>227</v>
      </c>
      <c r="D43" s="209" t="s">
        <v>227</v>
      </c>
      <c r="E43" s="209" t="s">
        <v>227</v>
      </c>
      <c r="F43" s="209" t="s">
        <v>227</v>
      </c>
      <c r="G43" s="209" t="s">
        <v>227</v>
      </c>
      <c r="H43" s="209" t="s">
        <v>227</v>
      </c>
      <c r="I43" s="209" t="s">
        <v>227</v>
      </c>
      <c r="J43" s="209" t="s">
        <v>227</v>
      </c>
      <c r="K43" s="209" t="s">
        <v>227</v>
      </c>
      <c r="L43" s="209" t="s">
        <v>227</v>
      </c>
    </row>
    <row r="44" spans="3:31" x14ac:dyDescent="0.25">
      <c r="C44" s="209" t="s">
        <v>230</v>
      </c>
      <c r="D44" s="209" t="s">
        <v>230</v>
      </c>
      <c r="E44" s="209" t="s">
        <v>230</v>
      </c>
      <c r="F44" s="209" t="s">
        <v>230</v>
      </c>
      <c r="G44" s="209" t="s">
        <v>230</v>
      </c>
      <c r="H44" s="209" t="s">
        <v>230</v>
      </c>
      <c r="I44" s="209" t="s">
        <v>230</v>
      </c>
      <c r="J44" s="209" t="s">
        <v>230</v>
      </c>
      <c r="K44" s="209" t="s">
        <v>230</v>
      </c>
      <c r="L44" s="209" t="s">
        <v>230</v>
      </c>
    </row>
    <row r="45" spans="3:31" x14ac:dyDescent="0.25">
      <c r="C45" s="209" t="s">
        <v>86</v>
      </c>
      <c r="D45" s="209" t="s">
        <v>86</v>
      </c>
      <c r="E45" s="209" t="s">
        <v>86</v>
      </c>
      <c r="F45" s="209" t="s">
        <v>86</v>
      </c>
      <c r="G45" s="209" t="s">
        <v>86</v>
      </c>
      <c r="H45" s="209" t="s">
        <v>86</v>
      </c>
      <c r="I45" s="209" t="s">
        <v>86</v>
      </c>
      <c r="J45" s="209" t="s">
        <v>86</v>
      </c>
      <c r="K45" s="209" t="s">
        <v>85</v>
      </c>
      <c r="L45" s="209" t="s">
        <v>85</v>
      </c>
    </row>
    <row r="46" spans="3:31" x14ac:dyDescent="0.25">
      <c r="C46" s="209" t="s">
        <v>196</v>
      </c>
      <c r="D46" s="209" t="s">
        <v>196</v>
      </c>
      <c r="E46" s="209" t="s">
        <v>196</v>
      </c>
      <c r="F46" s="209" t="s">
        <v>196</v>
      </c>
      <c r="G46" s="209" t="s">
        <v>196</v>
      </c>
      <c r="H46" s="209" t="s">
        <v>196</v>
      </c>
      <c r="I46" s="209" t="s">
        <v>196</v>
      </c>
      <c r="J46" s="209" t="s">
        <v>196</v>
      </c>
      <c r="K46" s="209" t="s">
        <v>264</v>
      </c>
      <c r="L46" s="209" t="s">
        <v>264</v>
      </c>
    </row>
    <row r="47" spans="3:31" x14ac:dyDescent="0.25">
      <c r="C47" s="209" t="s">
        <v>85</v>
      </c>
      <c r="D47" s="209" t="s">
        <v>85</v>
      </c>
      <c r="E47" s="209" t="s">
        <v>85</v>
      </c>
      <c r="F47" s="209" t="s">
        <v>85</v>
      </c>
      <c r="G47" s="209" t="s">
        <v>85</v>
      </c>
      <c r="H47" s="209" t="s">
        <v>85</v>
      </c>
      <c r="I47" s="209" t="s">
        <v>85</v>
      </c>
      <c r="J47" s="209" t="s">
        <v>85</v>
      </c>
      <c r="K47" s="209" t="s">
        <v>199</v>
      </c>
      <c r="L47" s="209" t="s">
        <v>199</v>
      </c>
    </row>
    <row r="48" spans="3:31" x14ac:dyDescent="0.25">
      <c r="C48" s="209" t="s">
        <v>264</v>
      </c>
      <c r="D48" s="209" t="s">
        <v>264</v>
      </c>
      <c r="E48" s="209" t="s">
        <v>264</v>
      </c>
      <c r="F48" s="209" t="s">
        <v>264</v>
      </c>
      <c r="G48" s="209" t="s">
        <v>264</v>
      </c>
      <c r="H48" s="209" t="s">
        <v>264</v>
      </c>
      <c r="I48" s="209" t="s">
        <v>264</v>
      </c>
      <c r="J48" s="209" t="s">
        <v>264</v>
      </c>
      <c r="K48" s="209" t="s">
        <v>204</v>
      </c>
      <c r="L48" s="209" t="s">
        <v>204</v>
      </c>
    </row>
    <row r="49" spans="3:12" x14ac:dyDescent="0.25">
      <c r="C49" s="209" t="s">
        <v>199</v>
      </c>
      <c r="D49" s="209" t="s">
        <v>199</v>
      </c>
      <c r="E49" s="209" t="s">
        <v>199</v>
      </c>
      <c r="F49" s="209" t="s">
        <v>199</v>
      </c>
      <c r="G49" s="209" t="s">
        <v>199</v>
      </c>
      <c r="H49" s="209" t="s">
        <v>199</v>
      </c>
      <c r="I49" s="209" t="s">
        <v>199</v>
      </c>
      <c r="J49" s="209" t="s">
        <v>199</v>
      </c>
      <c r="K49" s="209" t="s">
        <v>208</v>
      </c>
      <c r="L49" s="209" t="s">
        <v>208</v>
      </c>
    </row>
    <row r="50" spans="3:12" x14ac:dyDescent="0.25">
      <c r="C50" s="209" t="s">
        <v>204</v>
      </c>
      <c r="D50" s="209" t="s">
        <v>204</v>
      </c>
      <c r="E50" s="209" t="s">
        <v>204</v>
      </c>
      <c r="F50" s="209" t="s">
        <v>204</v>
      </c>
      <c r="G50" s="209" t="s">
        <v>204</v>
      </c>
      <c r="H50" s="209" t="s">
        <v>204</v>
      </c>
      <c r="I50" s="209" t="s">
        <v>204</v>
      </c>
      <c r="J50" s="209" t="s">
        <v>204</v>
      </c>
      <c r="K50" s="209" t="s">
        <v>212</v>
      </c>
      <c r="L50" s="209" t="s">
        <v>212</v>
      </c>
    </row>
    <row r="51" spans="3:12" x14ac:dyDescent="0.25">
      <c r="C51" s="209" t="s">
        <v>208</v>
      </c>
      <c r="D51" s="209" t="s">
        <v>208</v>
      </c>
      <c r="E51" s="209" t="s">
        <v>208</v>
      </c>
      <c r="F51" s="209" t="s">
        <v>208</v>
      </c>
      <c r="G51" s="209" t="s">
        <v>208</v>
      </c>
      <c r="H51" s="209" t="s">
        <v>208</v>
      </c>
      <c r="I51" s="209" t="s">
        <v>208</v>
      </c>
      <c r="J51" s="209" t="s">
        <v>208</v>
      </c>
      <c r="K51" s="209" t="s">
        <v>215</v>
      </c>
      <c r="L51" s="209" t="s">
        <v>215</v>
      </c>
    </row>
    <row r="52" spans="3:12" x14ac:dyDescent="0.25">
      <c r="C52" s="209" t="s">
        <v>212</v>
      </c>
      <c r="D52" s="209" t="s">
        <v>212</v>
      </c>
      <c r="E52" s="209" t="s">
        <v>212</v>
      </c>
      <c r="F52" s="209" t="s">
        <v>212</v>
      </c>
      <c r="G52" s="209" t="s">
        <v>212</v>
      </c>
      <c r="H52" s="209" t="s">
        <v>212</v>
      </c>
      <c r="I52" s="209" t="s">
        <v>212</v>
      </c>
      <c r="J52" s="209" t="s">
        <v>212</v>
      </c>
      <c r="K52" s="209" t="s">
        <v>219</v>
      </c>
      <c r="L52" s="209" t="s">
        <v>219</v>
      </c>
    </row>
    <row r="53" spans="3:12" x14ac:dyDescent="0.25">
      <c r="C53" s="209" t="s">
        <v>215</v>
      </c>
      <c r="D53" s="209" t="s">
        <v>215</v>
      </c>
      <c r="E53" s="209" t="s">
        <v>215</v>
      </c>
      <c r="F53" s="209" t="s">
        <v>215</v>
      </c>
      <c r="G53" s="209" t="s">
        <v>215</v>
      </c>
      <c r="H53" s="209" t="s">
        <v>215</v>
      </c>
      <c r="I53" s="209" t="s">
        <v>215</v>
      </c>
      <c r="J53" s="209" t="s">
        <v>215</v>
      </c>
      <c r="K53" s="209" t="s">
        <v>223</v>
      </c>
      <c r="L53" s="209" t="s">
        <v>223</v>
      </c>
    </row>
    <row r="54" spans="3:12" x14ac:dyDescent="0.25">
      <c r="C54" s="209" t="s">
        <v>219</v>
      </c>
      <c r="D54" s="209" t="s">
        <v>219</v>
      </c>
      <c r="E54" s="209" t="s">
        <v>219</v>
      </c>
      <c r="F54" s="209" t="s">
        <v>219</v>
      </c>
      <c r="G54" s="209" t="s">
        <v>219</v>
      </c>
      <c r="H54" s="209" t="s">
        <v>219</v>
      </c>
      <c r="I54" s="209" t="s">
        <v>219</v>
      </c>
      <c r="J54" s="209" t="s">
        <v>219</v>
      </c>
      <c r="K54" s="224" t="s">
        <v>265</v>
      </c>
      <c r="L54" s="224" t="s">
        <v>265</v>
      </c>
    </row>
    <row r="55" spans="3:12" x14ac:dyDescent="0.25">
      <c r="C55" s="209" t="s">
        <v>223</v>
      </c>
      <c r="D55" s="209" t="s">
        <v>223</v>
      </c>
      <c r="E55" s="209" t="s">
        <v>223</v>
      </c>
      <c r="F55" s="209" t="s">
        <v>223</v>
      </c>
      <c r="G55" s="209" t="s">
        <v>223</v>
      </c>
      <c r="H55" s="209" t="s">
        <v>223</v>
      </c>
      <c r="I55" s="209" t="s">
        <v>223</v>
      </c>
      <c r="J55" s="209" t="s">
        <v>223</v>
      </c>
    </row>
    <row r="56" spans="3:12" x14ac:dyDescent="0.25">
      <c r="C56" s="224" t="s">
        <v>265</v>
      </c>
      <c r="D56" s="224" t="s">
        <v>265</v>
      </c>
      <c r="E56" s="224" t="s">
        <v>265</v>
      </c>
      <c r="F56" s="224" t="s">
        <v>265</v>
      </c>
      <c r="G56" s="224" t="s">
        <v>265</v>
      </c>
      <c r="H56" s="224" t="s">
        <v>265</v>
      </c>
      <c r="I56" s="224" t="s">
        <v>265</v>
      </c>
      <c r="J56" s="224" t="s">
        <v>265</v>
      </c>
    </row>
    <row r="59" spans="3:12" x14ac:dyDescent="0.25">
      <c r="C59" s="221" t="s">
        <v>250</v>
      </c>
    </row>
    <row r="60" spans="3:12" x14ac:dyDescent="0.25">
      <c r="C60" s="210">
        <v>2011</v>
      </c>
      <c r="D60" s="210">
        <v>2012</v>
      </c>
      <c r="E60" s="210">
        <v>2013</v>
      </c>
      <c r="F60" s="210">
        <v>2014</v>
      </c>
      <c r="G60" s="210">
        <v>2015</v>
      </c>
      <c r="H60" s="210">
        <v>2016</v>
      </c>
      <c r="I60" s="210">
        <v>2017</v>
      </c>
      <c r="J60" s="210">
        <v>2018</v>
      </c>
      <c r="K60" s="210">
        <v>2019</v>
      </c>
      <c r="L60" s="210">
        <v>2020</v>
      </c>
    </row>
    <row r="61" spans="3:12" x14ac:dyDescent="0.25">
      <c r="C61" s="210" t="s">
        <v>266</v>
      </c>
      <c r="D61" s="210" t="s">
        <v>267</v>
      </c>
      <c r="E61" s="210" t="s">
        <v>268</v>
      </c>
      <c r="F61" s="210" t="s">
        <v>269</v>
      </c>
      <c r="G61" s="210" t="s">
        <v>270</v>
      </c>
      <c r="H61" s="210" t="s">
        <v>271</v>
      </c>
      <c r="I61" s="210" t="s">
        <v>272</v>
      </c>
      <c r="J61" s="210" t="s">
        <v>273</v>
      </c>
      <c r="K61" s="210" t="s">
        <v>274</v>
      </c>
      <c r="L61" s="222" t="s">
        <v>275</v>
      </c>
    </row>
    <row r="62" spans="3:12" x14ac:dyDescent="0.25">
      <c r="C62" t="s">
        <v>86</v>
      </c>
      <c r="D62" t="s">
        <v>86</v>
      </c>
      <c r="E62" t="s">
        <v>86</v>
      </c>
      <c r="F62" t="s">
        <v>86</v>
      </c>
      <c r="G62" t="s">
        <v>86</v>
      </c>
      <c r="H62" t="s">
        <v>86</v>
      </c>
      <c r="I62" t="s">
        <v>86</v>
      </c>
      <c r="J62" t="s">
        <v>86</v>
      </c>
      <c r="K62" t="s">
        <v>85</v>
      </c>
      <c r="L62" t="s">
        <v>85</v>
      </c>
    </row>
    <row r="63" spans="3:12" x14ac:dyDescent="0.25">
      <c r="C63" t="s">
        <v>196</v>
      </c>
      <c r="D63" t="s">
        <v>196</v>
      </c>
      <c r="E63" t="s">
        <v>196</v>
      </c>
      <c r="F63" t="s">
        <v>196</v>
      </c>
      <c r="G63" t="s">
        <v>196</v>
      </c>
      <c r="H63" t="s">
        <v>196</v>
      </c>
      <c r="I63" t="s">
        <v>196</v>
      </c>
      <c r="J63" t="s">
        <v>196</v>
      </c>
      <c r="K63" t="s">
        <v>264</v>
      </c>
      <c r="L63" t="s">
        <v>264</v>
      </c>
    </row>
    <row r="64" spans="3:12" x14ac:dyDescent="0.25">
      <c r="C64" t="s">
        <v>195</v>
      </c>
      <c r="D64" t="s">
        <v>195</v>
      </c>
      <c r="E64" t="s">
        <v>195</v>
      </c>
      <c r="F64" t="s">
        <v>195</v>
      </c>
      <c r="G64" t="s">
        <v>195</v>
      </c>
      <c r="H64" t="s">
        <v>195</v>
      </c>
      <c r="I64" t="s">
        <v>195</v>
      </c>
      <c r="J64" t="s">
        <v>195</v>
      </c>
      <c r="K64" t="s">
        <v>199</v>
      </c>
      <c r="L64" t="s">
        <v>199</v>
      </c>
    </row>
    <row r="65" spans="3:12" x14ac:dyDescent="0.25">
      <c r="C65" t="s">
        <v>85</v>
      </c>
      <c r="D65" t="s">
        <v>85</v>
      </c>
      <c r="E65" t="s">
        <v>85</v>
      </c>
      <c r="F65" t="s">
        <v>85</v>
      </c>
      <c r="G65" t="s">
        <v>85</v>
      </c>
      <c r="H65" t="s">
        <v>85</v>
      </c>
      <c r="I65" t="s">
        <v>85</v>
      </c>
      <c r="J65" t="s">
        <v>85</v>
      </c>
      <c r="K65" t="s">
        <v>204</v>
      </c>
      <c r="L65" t="s">
        <v>204</v>
      </c>
    </row>
    <row r="66" spans="3:12" x14ac:dyDescent="0.25">
      <c r="C66" t="s">
        <v>264</v>
      </c>
      <c r="D66" t="s">
        <v>264</v>
      </c>
      <c r="E66" t="s">
        <v>264</v>
      </c>
      <c r="F66" t="s">
        <v>264</v>
      </c>
      <c r="G66" t="s">
        <v>264</v>
      </c>
      <c r="H66" t="s">
        <v>264</v>
      </c>
      <c r="I66" t="s">
        <v>264</v>
      </c>
      <c r="J66" t="s">
        <v>264</v>
      </c>
      <c r="K66" t="s">
        <v>208</v>
      </c>
      <c r="L66" t="s">
        <v>208</v>
      </c>
    </row>
    <row r="67" spans="3:12" x14ac:dyDescent="0.25">
      <c r="C67" t="s">
        <v>199</v>
      </c>
      <c r="D67" t="s">
        <v>199</v>
      </c>
      <c r="E67" t="s">
        <v>199</v>
      </c>
      <c r="F67" t="s">
        <v>199</v>
      </c>
      <c r="G67" t="s">
        <v>199</v>
      </c>
      <c r="H67" t="s">
        <v>199</v>
      </c>
      <c r="I67" t="s">
        <v>199</v>
      </c>
      <c r="J67" t="s">
        <v>199</v>
      </c>
      <c r="K67" t="s">
        <v>212</v>
      </c>
      <c r="L67" t="s">
        <v>212</v>
      </c>
    </row>
    <row r="68" spans="3:12" x14ac:dyDescent="0.25">
      <c r="C68" t="s">
        <v>204</v>
      </c>
      <c r="D68" t="s">
        <v>204</v>
      </c>
      <c r="E68" t="s">
        <v>204</v>
      </c>
      <c r="F68" t="s">
        <v>204</v>
      </c>
      <c r="G68" t="s">
        <v>204</v>
      </c>
      <c r="H68" t="s">
        <v>204</v>
      </c>
      <c r="I68" t="s">
        <v>204</v>
      </c>
      <c r="J68" t="s">
        <v>204</v>
      </c>
      <c r="K68" t="s">
        <v>215</v>
      </c>
      <c r="L68" t="s">
        <v>215</v>
      </c>
    </row>
    <row r="69" spans="3:12" x14ac:dyDescent="0.25">
      <c r="C69" t="s">
        <v>208</v>
      </c>
      <c r="D69" t="s">
        <v>208</v>
      </c>
      <c r="E69" t="s">
        <v>208</v>
      </c>
      <c r="F69" t="s">
        <v>208</v>
      </c>
      <c r="G69" t="s">
        <v>208</v>
      </c>
      <c r="H69" t="s">
        <v>208</v>
      </c>
      <c r="I69" t="s">
        <v>208</v>
      </c>
      <c r="J69" t="s">
        <v>208</v>
      </c>
      <c r="K69" t="s">
        <v>219</v>
      </c>
      <c r="L69" t="s">
        <v>219</v>
      </c>
    </row>
    <row r="70" spans="3:12" x14ac:dyDescent="0.25">
      <c r="C70" t="s">
        <v>212</v>
      </c>
      <c r="D70" t="s">
        <v>212</v>
      </c>
      <c r="E70" t="s">
        <v>212</v>
      </c>
      <c r="F70" t="s">
        <v>212</v>
      </c>
      <c r="G70" t="s">
        <v>212</v>
      </c>
      <c r="H70" t="s">
        <v>212</v>
      </c>
      <c r="I70" t="s">
        <v>212</v>
      </c>
      <c r="J70" t="s">
        <v>212</v>
      </c>
      <c r="K70" t="s">
        <v>223</v>
      </c>
      <c r="L70" t="s">
        <v>223</v>
      </c>
    </row>
    <row r="71" spans="3:12" x14ac:dyDescent="0.25">
      <c r="C71" t="s">
        <v>215</v>
      </c>
      <c r="D71" t="s">
        <v>215</v>
      </c>
      <c r="E71" t="s">
        <v>215</v>
      </c>
      <c r="F71" t="s">
        <v>215</v>
      </c>
      <c r="G71" t="s">
        <v>215</v>
      </c>
      <c r="H71" t="s">
        <v>215</v>
      </c>
      <c r="I71" t="s">
        <v>215</v>
      </c>
      <c r="J71" t="s">
        <v>215</v>
      </c>
      <c r="K71" t="s">
        <v>195</v>
      </c>
      <c r="L71" t="s">
        <v>195</v>
      </c>
    </row>
    <row r="72" spans="3:12" x14ac:dyDescent="0.25">
      <c r="C72" t="s">
        <v>219</v>
      </c>
      <c r="D72" t="s">
        <v>219</v>
      </c>
      <c r="E72" t="s">
        <v>219</v>
      </c>
      <c r="F72" t="s">
        <v>219</v>
      </c>
      <c r="G72" t="s">
        <v>219</v>
      </c>
      <c r="H72" t="s">
        <v>219</v>
      </c>
      <c r="I72" t="s">
        <v>219</v>
      </c>
      <c r="J72" t="s">
        <v>219</v>
      </c>
      <c r="K72" t="s">
        <v>228</v>
      </c>
      <c r="L72" t="s">
        <v>228</v>
      </c>
    </row>
    <row r="73" spans="3:12" x14ac:dyDescent="0.25">
      <c r="C73" t="s">
        <v>223</v>
      </c>
      <c r="D73" t="s">
        <v>223</v>
      </c>
      <c r="E73" t="s">
        <v>223</v>
      </c>
      <c r="F73" t="s">
        <v>223</v>
      </c>
      <c r="G73" t="s">
        <v>223</v>
      </c>
      <c r="H73" t="s">
        <v>223</v>
      </c>
      <c r="I73" t="s">
        <v>223</v>
      </c>
      <c r="J73" t="s">
        <v>223</v>
      </c>
      <c r="K73" t="s">
        <v>276</v>
      </c>
      <c r="L73" t="s">
        <v>276</v>
      </c>
    </row>
    <row r="74" spans="3:12" x14ac:dyDescent="0.25">
      <c r="C74" t="s">
        <v>228</v>
      </c>
      <c r="D74" t="s">
        <v>228</v>
      </c>
      <c r="E74" t="s">
        <v>228</v>
      </c>
      <c r="F74" t="s">
        <v>228</v>
      </c>
      <c r="G74" t="s">
        <v>228</v>
      </c>
      <c r="H74" t="s">
        <v>228</v>
      </c>
      <c r="I74" t="s">
        <v>228</v>
      </c>
      <c r="J74" t="s">
        <v>228</v>
      </c>
      <c r="K74" t="s">
        <v>233</v>
      </c>
      <c r="L74" t="s">
        <v>233</v>
      </c>
    </row>
    <row r="75" spans="3:12" x14ac:dyDescent="0.25">
      <c r="C75" t="s">
        <v>276</v>
      </c>
      <c r="D75" t="s">
        <v>276</v>
      </c>
      <c r="E75" t="s">
        <v>276</v>
      </c>
      <c r="F75" t="s">
        <v>276</v>
      </c>
      <c r="G75" t="s">
        <v>276</v>
      </c>
      <c r="H75" t="s">
        <v>276</v>
      </c>
      <c r="I75" t="s">
        <v>276</v>
      </c>
      <c r="J75" t="s">
        <v>276</v>
      </c>
      <c r="K75" t="s">
        <v>211</v>
      </c>
      <c r="L75" t="s">
        <v>211</v>
      </c>
    </row>
    <row r="76" spans="3:12" x14ac:dyDescent="0.25">
      <c r="C76" t="s">
        <v>233</v>
      </c>
      <c r="D76" t="s">
        <v>233</v>
      </c>
      <c r="E76" t="s">
        <v>233</v>
      </c>
      <c r="F76" t="s">
        <v>233</v>
      </c>
      <c r="G76" t="s">
        <v>233</v>
      </c>
      <c r="H76" t="s">
        <v>233</v>
      </c>
      <c r="I76" t="s">
        <v>233</v>
      </c>
      <c r="J76" t="s">
        <v>233</v>
      </c>
      <c r="K76" t="s">
        <v>236</v>
      </c>
      <c r="L76" t="s">
        <v>236</v>
      </c>
    </row>
    <row r="77" spans="3:12" x14ac:dyDescent="0.25">
      <c r="C77" t="s">
        <v>211</v>
      </c>
      <c r="D77" t="s">
        <v>211</v>
      </c>
      <c r="E77" t="s">
        <v>211</v>
      </c>
      <c r="F77" t="s">
        <v>211</v>
      </c>
      <c r="G77" t="s">
        <v>211</v>
      </c>
      <c r="H77" t="s">
        <v>211</v>
      </c>
      <c r="I77" t="s">
        <v>211</v>
      </c>
      <c r="J77" t="s">
        <v>211</v>
      </c>
      <c r="K77" t="s">
        <v>222</v>
      </c>
      <c r="L77" t="s">
        <v>222</v>
      </c>
    </row>
    <row r="78" spans="3:12" x14ac:dyDescent="0.25">
      <c r="C78" t="s">
        <v>236</v>
      </c>
      <c r="D78" t="s">
        <v>236</v>
      </c>
      <c r="E78" t="s">
        <v>236</v>
      </c>
      <c r="F78" t="s">
        <v>236</v>
      </c>
      <c r="G78" t="s">
        <v>236</v>
      </c>
      <c r="H78" t="s">
        <v>236</v>
      </c>
      <c r="I78" t="s">
        <v>236</v>
      </c>
      <c r="J78" t="s">
        <v>236</v>
      </c>
      <c r="K78" t="s">
        <v>265</v>
      </c>
      <c r="L78" t="s">
        <v>265</v>
      </c>
    </row>
    <row r="79" spans="3:12" x14ac:dyDescent="0.25">
      <c r="C79" t="s">
        <v>222</v>
      </c>
      <c r="D79" t="s">
        <v>222</v>
      </c>
      <c r="E79" t="s">
        <v>222</v>
      </c>
      <c r="F79" t="s">
        <v>222</v>
      </c>
      <c r="G79" t="s">
        <v>222</v>
      </c>
      <c r="H79" t="s">
        <v>222</v>
      </c>
      <c r="I79" t="s">
        <v>222</v>
      </c>
      <c r="J79" t="s">
        <v>222</v>
      </c>
    </row>
    <row r="80" spans="3:12" x14ac:dyDescent="0.25">
      <c r="C80" t="s">
        <v>265</v>
      </c>
      <c r="D80" t="s">
        <v>265</v>
      </c>
      <c r="E80" t="s">
        <v>265</v>
      </c>
      <c r="F80" t="s">
        <v>265</v>
      </c>
      <c r="G80" t="s">
        <v>265</v>
      </c>
      <c r="H80" t="s">
        <v>265</v>
      </c>
      <c r="I80" t="s">
        <v>265</v>
      </c>
      <c r="J80" t="s">
        <v>265</v>
      </c>
    </row>
    <row r="81" spans="3:13" x14ac:dyDescent="0.25">
      <c r="D81" s="216"/>
    </row>
    <row r="82" spans="3:13" ht="15" customHeight="1" x14ac:dyDescent="0.25">
      <c r="C82" s="545" t="s">
        <v>277</v>
      </c>
      <c r="D82" s="546" t="s">
        <v>278</v>
      </c>
      <c r="E82" s="546"/>
      <c r="F82" s="546"/>
      <c r="G82" s="546"/>
      <c r="H82" s="546"/>
      <c r="I82" s="546"/>
      <c r="J82" s="546"/>
      <c r="K82" s="546"/>
      <c r="L82" s="546"/>
      <c r="M82" s="546"/>
    </row>
    <row r="83" spans="3:13" x14ac:dyDescent="0.25">
      <c r="C83" s="545"/>
      <c r="D83" s="225">
        <v>2011</v>
      </c>
      <c r="E83" s="225">
        <v>2012</v>
      </c>
      <c r="F83" s="225">
        <v>2013</v>
      </c>
      <c r="G83" s="225">
        <v>2014</v>
      </c>
      <c r="H83" s="225">
        <v>2015</v>
      </c>
      <c r="I83" s="225">
        <v>2016</v>
      </c>
      <c r="J83" s="225">
        <v>2017</v>
      </c>
      <c r="K83" s="225">
        <v>2018</v>
      </c>
      <c r="L83" s="225">
        <v>2019</v>
      </c>
      <c r="M83" s="225">
        <v>2020</v>
      </c>
    </row>
    <row r="84" spans="3:13" x14ac:dyDescent="0.25">
      <c r="C84" s="226" t="s">
        <v>279</v>
      </c>
      <c r="D84" s="227">
        <v>2.2050000000000001</v>
      </c>
      <c r="E84" s="228">
        <v>2.2010000000000001</v>
      </c>
      <c r="F84" s="228">
        <v>2.2050000000000001</v>
      </c>
      <c r="G84" s="228">
        <v>2.2050000000000001</v>
      </c>
      <c r="H84" s="228">
        <v>2.2050000000000001</v>
      </c>
      <c r="I84" s="228">
        <v>2.1960000000000002</v>
      </c>
      <c r="J84" s="228">
        <v>2.1800000000000002</v>
      </c>
      <c r="K84" s="228">
        <v>2.157</v>
      </c>
      <c r="L84" s="228" t="s">
        <v>280</v>
      </c>
      <c r="M84" s="228" t="s">
        <v>280</v>
      </c>
    </row>
    <row r="85" spans="3:13" x14ac:dyDescent="0.25">
      <c r="C85" s="226" t="s">
        <v>281</v>
      </c>
      <c r="D85" s="227">
        <v>2.4929999999999999</v>
      </c>
      <c r="E85" s="228">
        <v>2.4670000000000001</v>
      </c>
      <c r="F85" s="228">
        <v>2.544</v>
      </c>
      <c r="G85" s="228">
        <v>2.544</v>
      </c>
      <c r="H85" s="228">
        <v>2.544</v>
      </c>
      <c r="I85" s="228">
        <v>2.5390000000000001</v>
      </c>
      <c r="J85" s="228">
        <v>2.52</v>
      </c>
      <c r="K85" s="228">
        <v>2.4929999999999999</v>
      </c>
      <c r="L85" s="228" t="s">
        <v>280</v>
      </c>
      <c r="M85" s="228" t="s">
        <v>280</v>
      </c>
    </row>
    <row r="86" spans="3:13" x14ac:dyDescent="0.25">
      <c r="C86" s="226" t="s">
        <v>195</v>
      </c>
      <c r="D86" s="227">
        <v>2.7080000000000002</v>
      </c>
      <c r="E86" s="228">
        <v>2.7080000000000002</v>
      </c>
      <c r="F86" s="228">
        <v>2.7080000000000002</v>
      </c>
      <c r="G86" s="228">
        <v>2.7080000000000002</v>
      </c>
      <c r="H86" s="228">
        <v>2.7080000000000002</v>
      </c>
      <c r="I86" s="228">
        <v>2.7080000000000002</v>
      </c>
      <c r="J86" s="228">
        <v>2.7080000000000002</v>
      </c>
      <c r="K86" s="228">
        <v>2.7080000000000002</v>
      </c>
      <c r="L86" s="228">
        <v>2.7080000000000002</v>
      </c>
      <c r="M86" s="228">
        <v>2.6859999999999999</v>
      </c>
    </row>
    <row r="87" spans="3:13" x14ac:dyDescent="0.25">
      <c r="C87" s="226" t="s">
        <v>282</v>
      </c>
      <c r="D87" s="227">
        <v>2.8679999999999999</v>
      </c>
      <c r="E87" s="228">
        <v>2.8679999999999999</v>
      </c>
      <c r="F87" s="228">
        <v>2.8679999999999999</v>
      </c>
      <c r="G87" s="228">
        <v>2.8679999999999999</v>
      </c>
      <c r="H87" s="228">
        <v>2.8679999999999999</v>
      </c>
      <c r="I87" s="228">
        <v>2.8679999999999999</v>
      </c>
      <c r="J87" s="228">
        <v>2.8679999999999999</v>
      </c>
      <c r="K87" s="228">
        <v>2.8679999999999999</v>
      </c>
      <c r="L87" s="228">
        <v>2.8679999999999999</v>
      </c>
      <c r="M87" s="228">
        <v>2.8679999999999999</v>
      </c>
    </row>
    <row r="88" spans="3:13" x14ac:dyDescent="0.25">
      <c r="C88" s="226" t="s">
        <v>283</v>
      </c>
      <c r="D88" s="227">
        <v>2.1800000000000002</v>
      </c>
      <c r="E88" s="228">
        <v>2.1800000000000002</v>
      </c>
      <c r="F88" s="228">
        <v>2.1800000000000002</v>
      </c>
      <c r="G88" s="228">
        <v>2.1800000000000002</v>
      </c>
      <c r="H88" s="228">
        <v>2.1800000000000002</v>
      </c>
      <c r="I88" s="228">
        <v>2.1800000000000002</v>
      </c>
      <c r="J88" s="228">
        <v>2.1800000000000002</v>
      </c>
      <c r="K88" s="228">
        <v>2.1800000000000002</v>
      </c>
      <c r="L88" s="228">
        <v>2.1800000000000002</v>
      </c>
      <c r="M88" s="228">
        <v>2.2440000000000002</v>
      </c>
    </row>
    <row r="89" spans="3:13" x14ac:dyDescent="0.25">
      <c r="C89" s="226" t="s">
        <v>284</v>
      </c>
      <c r="D89" s="227">
        <v>2.0649999999999999</v>
      </c>
      <c r="E89" s="228">
        <v>2.0649999999999999</v>
      </c>
      <c r="F89" s="228">
        <v>2.0649999999999999</v>
      </c>
      <c r="G89" s="228">
        <v>2.0649999999999999</v>
      </c>
      <c r="H89" s="228">
        <v>2.0649999999999999</v>
      </c>
      <c r="I89" s="228">
        <v>2.0649999999999999</v>
      </c>
      <c r="J89" s="228">
        <v>2.0649999999999999</v>
      </c>
      <c r="K89" s="228">
        <v>2.0649999999999999</v>
      </c>
      <c r="L89" s="228">
        <v>2.0649999999999999</v>
      </c>
      <c r="M89" s="228">
        <v>2.125</v>
      </c>
    </row>
    <row r="90" spans="3:13" x14ac:dyDescent="0.25">
      <c r="C90" s="226" t="s">
        <v>285</v>
      </c>
      <c r="D90" s="227">
        <v>0.34399999999999997</v>
      </c>
      <c r="E90" s="228">
        <v>0.34399999999999997</v>
      </c>
      <c r="F90" s="228">
        <v>0.34399999999999997</v>
      </c>
      <c r="G90" s="228">
        <v>0.34399999999999997</v>
      </c>
      <c r="H90" s="228">
        <v>0.34399999999999997</v>
      </c>
      <c r="I90" s="228">
        <v>0.34399999999999997</v>
      </c>
      <c r="J90" s="228">
        <v>0.34399999999999997</v>
      </c>
      <c r="K90" s="228">
        <v>0.34399999999999997</v>
      </c>
      <c r="L90" s="228">
        <v>0.34399999999999997</v>
      </c>
      <c r="M90" s="228">
        <v>0.35399999999999998</v>
      </c>
    </row>
    <row r="91" spans="3:13" x14ac:dyDescent="0.25">
      <c r="C91" s="226" t="s">
        <v>286</v>
      </c>
      <c r="D91" s="227">
        <v>0</v>
      </c>
      <c r="E91" s="228">
        <v>0</v>
      </c>
      <c r="F91" s="228">
        <v>0</v>
      </c>
      <c r="G91" s="228">
        <v>0</v>
      </c>
      <c r="H91" s="228">
        <v>0</v>
      </c>
      <c r="I91" s="228">
        <v>0</v>
      </c>
      <c r="J91" s="228">
        <v>0</v>
      </c>
      <c r="K91" s="228">
        <v>0</v>
      </c>
      <c r="L91" s="228">
        <v>0</v>
      </c>
      <c r="M91" s="228">
        <v>0</v>
      </c>
    </row>
    <row r="92" spans="3:13" x14ac:dyDescent="0.25">
      <c r="C92" s="226" t="s">
        <v>287</v>
      </c>
      <c r="D92" s="227">
        <v>2.4670000000000001</v>
      </c>
      <c r="E92" s="228">
        <v>2.4670000000000001</v>
      </c>
      <c r="F92" s="228">
        <v>2.4670000000000001</v>
      </c>
      <c r="G92" s="228">
        <v>2.4670000000000001</v>
      </c>
      <c r="H92" s="228">
        <v>2.4670000000000001</v>
      </c>
      <c r="I92" s="228">
        <v>2.4670000000000001</v>
      </c>
      <c r="J92" s="228">
        <v>2.4670000000000001</v>
      </c>
      <c r="K92" s="228">
        <v>2.4670000000000001</v>
      </c>
      <c r="L92" s="228">
        <v>2.4670000000000001</v>
      </c>
      <c r="M92" s="228">
        <v>2.456</v>
      </c>
    </row>
    <row r="93" spans="3:13" x14ac:dyDescent="0.25">
      <c r="C93" s="226" t="s">
        <v>288</v>
      </c>
      <c r="D93" s="227">
        <v>2.387</v>
      </c>
      <c r="E93" s="228">
        <v>2.387</v>
      </c>
      <c r="F93" s="228">
        <v>2.387</v>
      </c>
      <c r="G93" s="228">
        <v>2.387</v>
      </c>
      <c r="H93" s="228">
        <v>2.387</v>
      </c>
      <c r="I93" s="228">
        <v>2.387</v>
      </c>
      <c r="J93" s="228">
        <v>2.387</v>
      </c>
      <c r="K93" s="228">
        <v>2.387</v>
      </c>
      <c r="L93" s="228">
        <v>2.387</v>
      </c>
      <c r="M93" s="228">
        <v>2.3769999999999998</v>
      </c>
    </row>
    <row r="94" spans="3:13" x14ac:dyDescent="0.25">
      <c r="C94" s="226" t="s">
        <v>289</v>
      </c>
      <c r="D94" s="227">
        <v>2.1219999999999999</v>
      </c>
      <c r="E94" s="228">
        <v>2.1219999999999999</v>
      </c>
      <c r="F94" s="228">
        <v>2.1219999999999999</v>
      </c>
      <c r="G94" s="228">
        <v>2.1219999999999999</v>
      </c>
      <c r="H94" s="228">
        <v>2.1219999999999999</v>
      </c>
      <c r="I94" s="228">
        <v>2.1219999999999999</v>
      </c>
      <c r="J94" s="228">
        <v>2.1219999999999999</v>
      </c>
      <c r="K94" s="228">
        <v>2.1219999999999999</v>
      </c>
      <c r="L94" s="228">
        <v>2.1219999999999999</v>
      </c>
      <c r="M94" s="228">
        <v>2.113</v>
      </c>
    </row>
    <row r="95" spans="3:13" x14ac:dyDescent="0.25">
      <c r="C95" s="226" t="s">
        <v>290</v>
      </c>
      <c r="D95" s="227">
        <v>1.857</v>
      </c>
      <c r="E95" s="228">
        <v>1.857</v>
      </c>
      <c r="F95" s="228">
        <v>1.857</v>
      </c>
      <c r="G95" s="228">
        <v>1.857</v>
      </c>
      <c r="H95" s="228">
        <v>1.857</v>
      </c>
      <c r="I95" s="228">
        <v>1.857</v>
      </c>
      <c r="J95" s="228">
        <v>1.857</v>
      </c>
      <c r="K95" s="228">
        <v>1.857</v>
      </c>
      <c r="L95" s="228">
        <v>1.857</v>
      </c>
      <c r="M95" s="228">
        <v>1.849</v>
      </c>
    </row>
    <row r="96" spans="3:13" x14ac:dyDescent="0.25">
      <c r="C96" s="226" t="s">
        <v>291</v>
      </c>
      <c r="D96" s="227">
        <v>0</v>
      </c>
      <c r="E96" s="228">
        <v>0</v>
      </c>
      <c r="F96" s="228">
        <v>0</v>
      </c>
      <c r="G96" s="228">
        <v>0</v>
      </c>
      <c r="H96" s="228">
        <v>0</v>
      </c>
      <c r="I96" s="228">
        <v>0</v>
      </c>
      <c r="J96" s="228">
        <v>0</v>
      </c>
      <c r="K96" s="228">
        <v>0</v>
      </c>
      <c r="L96" s="228">
        <v>0</v>
      </c>
      <c r="M96" s="228">
        <v>0</v>
      </c>
    </row>
    <row r="97" spans="3:13" x14ac:dyDescent="0.25">
      <c r="C97" s="226" t="s">
        <v>292</v>
      </c>
      <c r="D97" s="227">
        <v>0</v>
      </c>
      <c r="E97" s="228">
        <v>0</v>
      </c>
      <c r="F97" s="228">
        <v>0</v>
      </c>
      <c r="G97" s="228">
        <v>0</v>
      </c>
      <c r="H97" s="228">
        <v>0</v>
      </c>
      <c r="I97" s="228">
        <v>0</v>
      </c>
      <c r="J97" s="228">
        <v>0</v>
      </c>
      <c r="K97" s="228">
        <v>0</v>
      </c>
      <c r="L97" s="228">
        <v>0</v>
      </c>
      <c r="M97" s="228">
        <v>0</v>
      </c>
    </row>
    <row r="98" spans="3:13" x14ac:dyDescent="0.25">
      <c r="C98" s="226" t="s">
        <v>293</v>
      </c>
      <c r="D98" s="227">
        <v>0.182</v>
      </c>
      <c r="E98" s="228">
        <v>0.182</v>
      </c>
      <c r="F98" s="228">
        <v>0.182</v>
      </c>
      <c r="G98" s="228">
        <v>0.182</v>
      </c>
      <c r="H98" s="228">
        <v>0.182</v>
      </c>
      <c r="I98" s="228">
        <v>0.182</v>
      </c>
      <c r="J98" s="228">
        <v>0.183</v>
      </c>
      <c r="K98" s="228">
        <v>0.183</v>
      </c>
      <c r="L98" s="228">
        <v>0.182</v>
      </c>
      <c r="M98" s="228">
        <v>0.182</v>
      </c>
    </row>
    <row r="99" spans="3:13" x14ac:dyDescent="0.25">
      <c r="C99" s="226" t="s">
        <v>294</v>
      </c>
      <c r="D99" s="227">
        <v>2.7429999999999999</v>
      </c>
      <c r="E99" s="228">
        <v>2.7229999999999999</v>
      </c>
      <c r="F99" s="228">
        <v>2.7130000000000001</v>
      </c>
      <c r="G99" s="228">
        <v>2.7130000000000001</v>
      </c>
      <c r="H99" s="228">
        <v>2.6970000000000001</v>
      </c>
      <c r="I99" s="228">
        <v>2.7050000000000001</v>
      </c>
      <c r="J99" s="228">
        <v>2.7040000000000002</v>
      </c>
      <c r="K99" s="228">
        <v>2.71</v>
      </c>
      <c r="L99" s="228">
        <v>2.6970000000000001</v>
      </c>
      <c r="M99" s="228">
        <v>2.7210000000000001</v>
      </c>
    </row>
    <row r="100" spans="3:13" x14ac:dyDescent="0.25">
      <c r="C100" s="226" t="s">
        <v>295</v>
      </c>
      <c r="D100" s="227">
        <v>2.7429999999999999</v>
      </c>
      <c r="E100" s="228">
        <v>2.7229999999999999</v>
      </c>
      <c r="F100" s="228">
        <v>2.7130000000000001</v>
      </c>
      <c r="G100" s="228">
        <v>2.7130000000000001</v>
      </c>
      <c r="H100" s="228">
        <v>2.6970000000000001</v>
      </c>
      <c r="I100" s="228">
        <v>2.7050000000000001</v>
      </c>
      <c r="J100" s="228">
        <v>2.7040000000000002</v>
      </c>
      <c r="K100" s="228">
        <v>2.71</v>
      </c>
      <c r="L100" s="228">
        <v>2.6970000000000001</v>
      </c>
      <c r="M100" s="228">
        <v>2.7210000000000001</v>
      </c>
    </row>
    <row r="101" spans="3:13" x14ac:dyDescent="0.25">
      <c r="C101" s="226" t="s">
        <v>296</v>
      </c>
      <c r="D101" s="227">
        <f t="shared" ref="D101:M101" si="0">D98</f>
        <v>0.182</v>
      </c>
      <c r="E101" s="227">
        <f t="shared" si="0"/>
        <v>0.182</v>
      </c>
      <c r="F101" s="227">
        <f t="shared" si="0"/>
        <v>0.182</v>
      </c>
      <c r="G101" s="227">
        <f t="shared" si="0"/>
        <v>0.182</v>
      </c>
      <c r="H101" s="227">
        <f t="shared" si="0"/>
        <v>0.182</v>
      </c>
      <c r="I101" s="227">
        <f t="shared" si="0"/>
        <v>0.182</v>
      </c>
      <c r="J101" s="227">
        <f t="shared" si="0"/>
        <v>0.183</v>
      </c>
      <c r="K101" s="227">
        <f t="shared" si="0"/>
        <v>0.183</v>
      </c>
      <c r="L101" s="227">
        <f t="shared" si="0"/>
        <v>0.182</v>
      </c>
      <c r="M101" s="227">
        <f t="shared" si="0"/>
        <v>0.182</v>
      </c>
    </row>
    <row r="102" spans="3:13" x14ac:dyDescent="0.25">
      <c r="C102" s="226" t="s">
        <v>297</v>
      </c>
      <c r="D102" s="227">
        <f t="shared" ref="D102:M102" si="1">D98</f>
        <v>0.182</v>
      </c>
      <c r="E102" s="227">
        <f t="shared" si="1"/>
        <v>0.182</v>
      </c>
      <c r="F102" s="227">
        <f t="shared" si="1"/>
        <v>0.182</v>
      </c>
      <c r="G102" s="227">
        <f t="shared" si="1"/>
        <v>0.182</v>
      </c>
      <c r="H102" s="227">
        <f t="shared" si="1"/>
        <v>0.182</v>
      </c>
      <c r="I102" s="227">
        <f t="shared" si="1"/>
        <v>0.182</v>
      </c>
      <c r="J102" s="227">
        <f t="shared" si="1"/>
        <v>0.183</v>
      </c>
      <c r="K102" s="227">
        <f t="shared" si="1"/>
        <v>0.183</v>
      </c>
      <c r="L102" s="227">
        <f t="shared" si="1"/>
        <v>0.182</v>
      </c>
      <c r="M102" s="227">
        <f t="shared" si="1"/>
        <v>0.182</v>
      </c>
    </row>
    <row r="103" spans="3:13" x14ac:dyDescent="0.25">
      <c r="C103" s="226" t="s">
        <v>298</v>
      </c>
      <c r="D103" s="227">
        <v>1.671</v>
      </c>
      <c r="E103" s="228">
        <v>1.671</v>
      </c>
      <c r="F103" s="228">
        <v>1.671</v>
      </c>
      <c r="G103" s="228">
        <v>1.671</v>
      </c>
      <c r="H103" s="228">
        <v>1.671</v>
      </c>
      <c r="I103" s="228">
        <v>1.671</v>
      </c>
      <c r="J103" s="228">
        <v>1.671</v>
      </c>
      <c r="K103" s="228">
        <v>1.671</v>
      </c>
      <c r="L103" s="228">
        <v>1.671</v>
      </c>
      <c r="M103" s="228">
        <v>1.6279999999999999</v>
      </c>
    </row>
    <row r="104" spans="3:13" x14ac:dyDescent="0.25">
      <c r="C104" s="226" t="s">
        <v>299</v>
      </c>
      <c r="D104" s="227">
        <v>0</v>
      </c>
      <c r="E104" s="228">
        <v>0</v>
      </c>
      <c r="F104" s="228">
        <v>0</v>
      </c>
      <c r="G104" s="228">
        <v>0</v>
      </c>
      <c r="H104" s="228">
        <v>0</v>
      </c>
      <c r="I104" s="228">
        <v>0</v>
      </c>
      <c r="J104" s="228">
        <v>0</v>
      </c>
      <c r="K104" s="228">
        <v>0</v>
      </c>
      <c r="L104" s="228">
        <v>0</v>
      </c>
      <c r="M104" s="228">
        <v>0</v>
      </c>
    </row>
    <row r="105" spans="3:13" x14ac:dyDescent="0.25">
      <c r="C105" s="226" t="s">
        <v>300</v>
      </c>
      <c r="D105" s="227">
        <v>2.964</v>
      </c>
      <c r="E105" s="228">
        <v>2.964</v>
      </c>
      <c r="F105" s="228">
        <v>2.964</v>
      </c>
      <c r="G105" s="228">
        <v>2.964</v>
      </c>
      <c r="H105" s="228">
        <v>2.964</v>
      </c>
      <c r="I105" s="228">
        <v>2.964</v>
      </c>
      <c r="J105" s="228">
        <v>2.964</v>
      </c>
      <c r="K105" s="228">
        <v>2.964</v>
      </c>
      <c r="L105" s="228">
        <v>2.964</v>
      </c>
      <c r="M105" s="228">
        <v>2.964</v>
      </c>
    </row>
    <row r="106" spans="3:13" x14ac:dyDescent="0.25">
      <c r="C106" s="226" t="s">
        <v>301</v>
      </c>
      <c r="D106" s="227">
        <v>2.9380000000000002</v>
      </c>
      <c r="E106" s="228">
        <v>2.9380000000000002</v>
      </c>
      <c r="F106" s="228">
        <v>2.9380000000000002</v>
      </c>
      <c r="G106" s="228">
        <v>2.9380000000000002</v>
      </c>
      <c r="H106" s="228">
        <v>2.9380000000000002</v>
      </c>
      <c r="I106" s="228">
        <v>2.9380000000000002</v>
      </c>
      <c r="J106" s="228">
        <v>2.9380000000000002</v>
      </c>
      <c r="K106" s="228">
        <v>2.9380000000000002</v>
      </c>
      <c r="L106" s="228">
        <v>2.9380000000000002</v>
      </c>
      <c r="M106" s="228">
        <v>2.9380000000000002</v>
      </c>
    </row>
    <row r="107" spans="3:13" x14ac:dyDescent="0.25">
      <c r="C107" s="226" t="s">
        <v>302</v>
      </c>
      <c r="D107" s="227">
        <v>3.1269999999999998</v>
      </c>
      <c r="E107" s="228">
        <v>3.1269999999999998</v>
      </c>
      <c r="F107" s="228">
        <v>3.1269999999999998</v>
      </c>
      <c r="G107" s="228">
        <v>3.1269999999999998</v>
      </c>
      <c r="H107" s="228">
        <v>3.1269999999999998</v>
      </c>
      <c r="I107" s="228">
        <v>3.1269999999999998</v>
      </c>
      <c r="J107" s="228">
        <v>3.1269999999999998</v>
      </c>
      <c r="K107" s="228">
        <v>3.1269999999999998</v>
      </c>
      <c r="L107" s="228">
        <v>3.1269999999999998</v>
      </c>
      <c r="M107" s="228">
        <v>3.1269999999999998</v>
      </c>
    </row>
    <row r="108" spans="3:13" x14ac:dyDescent="0.25">
      <c r="C108" s="226" t="s">
        <v>303</v>
      </c>
      <c r="D108" s="227">
        <v>2.2989999999999999</v>
      </c>
      <c r="E108" s="228">
        <v>2.2989999999999999</v>
      </c>
      <c r="F108" s="228">
        <v>2.2989999999999999</v>
      </c>
      <c r="G108" s="228">
        <v>2.2989999999999999</v>
      </c>
      <c r="H108" s="228">
        <v>2.2989999999999999</v>
      </c>
      <c r="I108" s="228">
        <v>2.0059999999999998</v>
      </c>
      <c r="J108" s="228">
        <v>2.2269999999999999</v>
      </c>
      <c r="K108" s="228">
        <v>2.2269999999999999</v>
      </c>
      <c r="L108" s="228">
        <v>1.9139999999999999</v>
      </c>
      <c r="M108" s="228">
        <v>2.718</v>
      </c>
    </row>
    <row r="109" spans="3:13" x14ac:dyDescent="0.25">
      <c r="C109" s="226" t="s">
        <v>227</v>
      </c>
      <c r="D109" s="227">
        <v>2.5790000000000002</v>
      </c>
      <c r="E109" s="228">
        <v>2.5790000000000002</v>
      </c>
      <c r="F109" s="228">
        <v>2.5790000000000002</v>
      </c>
      <c r="G109" s="228">
        <v>2.5790000000000002</v>
      </c>
      <c r="H109" s="228">
        <v>2.5790000000000002</v>
      </c>
      <c r="I109" s="228">
        <v>2.4300000000000002</v>
      </c>
      <c r="J109" s="228">
        <v>2.444</v>
      </c>
      <c r="K109" s="228">
        <v>2.444</v>
      </c>
      <c r="L109" s="228">
        <v>2.4289999999999998</v>
      </c>
      <c r="M109" s="228">
        <v>2.4689999999999999</v>
      </c>
    </row>
    <row r="110" spans="3:13" x14ac:dyDescent="0.25">
      <c r="C110" s="226" t="s">
        <v>230</v>
      </c>
      <c r="D110" s="227">
        <v>3.169</v>
      </c>
      <c r="E110" s="228">
        <v>3.169</v>
      </c>
      <c r="F110" s="228">
        <v>3.169</v>
      </c>
      <c r="G110" s="228">
        <v>3.169</v>
      </c>
      <c r="H110" s="228">
        <v>3.169</v>
      </c>
      <c r="I110" s="228">
        <v>3.169</v>
      </c>
      <c r="J110" s="228">
        <v>3.169</v>
      </c>
      <c r="K110" s="228">
        <v>3.169</v>
      </c>
      <c r="L110" s="228">
        <v>3.169</v>
      </c>
      <c r="M110" s="228">
        <v>3.169</v>
      </c>
    </row>
    <row r="111" spans="3:13" x14ac:dyDescent="0.25">
      <c r="C111" s="229" t="s">
        <v>261</v>
      </c>
      <c r="D111" s="227">
        <v>0</v>
      </c>
      <c r="E111" s="228">
        <v>0</v>
      </c>
      <c r="F111" s="228">
        <v>0</v>
      </c>
      <c r="G111" s="228">
        <v>0</v>
      </c>
      <c r="H111" s="228">
        <v>0</v>
      </c>
      <c r="I111" s="228">
        <v>0</v>
      </c>
      <c r="J111" s="228">
        <v>0</v>
      </c>
      <c r="K111" s="228">
        <v>0</v>
      </c>
      <c r="L111" s="228">
        <v>0</v>
      </c>
      <c r="M111" s="228">
        <v>0</v>
      </c>
    </row>
    <row r="112" spans="3:13" x14ac:dyDescent="0.25">
      <c r="C112" s="229" t="s">
        <v>265</v>
      </c>
      <c r="D112" s="227" t="s">
        <v>280</v>
      </c>
      <c r="E112" s="228" t="s">
        <v>280</v>
      </c>
      <c r="F112" s="228" t="s">
        <v>280</v>
      </c>
      <c r="G112" s="228" t="s">
        <v>280</v>
      </c>
      <c r="H112" s="228" t="s">
        <v>280</v>
      </c>
      <c r="I112" s="228" t="s">
        <v>280</v>
      </c>
      <c r="J112" s="228" t="s">
        <v>280</v>
      </c>
      <c r="K112" s="228" t="s">
        <v>280</v>
      </c>
      <c r="L112" s="228" t="s">
        <v>280</v>
      </c>
      <c r="M112" s="228" t="s">
        <v>280</v>
      </c>
    </row>
    <row r="113" spans="1:43" x14ac:dyDescent="0.25">
      <c r="C113" s="230"/>
      <c r="D113" s="231"/>
      <c r="E113" s="232"/>
      <c r="F113" s="232"/>
      <c r="G113" s="232"/>
      <c r="H113" s="232"/>
      <c r="I113" s="232"/>
      <c r="J113" s="232"/>
      <c r="K113" s="232"/>
      <c r="L113" s="232"/>
      <c r="M113" s="232"/>
    </row>
    <row r="114" spans="1:43" s="210" customFormat="1" x14ac:dyDescent="0.25">
      <c r="A114" s="210" t="s">
        <v>304</v>
      </c>
      <c r="C114" s="233"/>
      <c r="D114" s="233"/>
      <c r="E114" s="221" t="s">
        <v>250</v>
      </c>
      <c r="F114" s="234"/>
      <c r="G114" s="234"/>
    </row>
    <row r="115" spans="1:43" x14ac:dyDescent="0.25">
      <c r="C115" s="216"/>
      <c r="D115" s="216"/>
      <c r="E115" s="235">
        <v>2011</v>
      </c>
      <c r="F115" s="236">
        <v>2012</v>
      </c>
      <c r="G115" s="236">
        <v>2013</v>
      </c>
      <c r="H115" s="236">
        <v>2014</v>
      </c>
      <c r="I115" s="236">
        <v>2015</v>
      </c>
      <c r="J115" s="236">
        <v>2016</v>
      </c>
      <c r="K115" s="236">
        <v>2017</v>
      </c>
      <c r="L115" s="236">
        <v>2018</v>
      </c>
      <c r="M115" s="236">
        <v>2019</v>
      </c>
      <c r="N115" s="235">
        <v>2020</v>
      </c>
    </row>
    <row r="116" spans="1:43" x14ac:dyDescent="0.25">
      <c r="B116" t="s">
        <v>159</v>
      </c>
      <c r="C116" s="216"/>
      <c r="D116" s="216">
        <v>1</v>
      </c>
      <c r="E116">
        <v>2</v>
      </c>
      <c r="F116">
        <v>3</v>
      </c>
      <c r="G116" s="216">
        <v>4</v>
      </c>
      <c r="H116" s="216">
        <v>5</v>
      </c>
      <c r="I116" s="216">
        <v>6</v>
      </c>
      <c r="J116" s="216">
        <v>7</v>
      </c>
      <c r="K116" s="216">
        <v>8</v>
      </c>
      <c r="L116" s="216">
        <v>9</v>
      </c>
      <c r="M116" s="216">
        <v>10</v>
      </c>
      <c r="N116" s="216">
        <v>11</v>
      </c>
      <c r="Q116" s="221" t="s">
        <v>305</v>
      </c>
      <c r="R116" s="221"/>
      <c r="S116" s="221"/>
      <c r="T116" s="221"/>
    </row>
    <row r="117" spans="1:43" ht="45" x14ac:dyDescent="0.25">
      <c r="C117" s="237" t="s">
        <v>306</v>
      </c>
      <c r="D117" s="238" t="s">
        <v>307</v>
      </c>
      <c r="E117" s="237" t="s">
        <v>308</v>
      </c>
      <c r="F117" s="237" t="s">
        <v>309</v>
      </c>
      <c r="G117" s="237" t="s">
        <v>310</v>
      </c>
      <c r="H117" s="237" t="s">
        <v>311</v>
      </c>
      <c r="I117" s="237" t="s">
        <v>312</v>
      </c>
      <c r="J117" s="237" t="s">
        <v>313</v>
      </c>
      <c r="K117" s="237" t="s">
        <v>314</v>
      </c>
      <c r="L117" s="237" t="s">
        <v>315</v>
      </c>
      <c r="M117" s="237" t="s">
        <v>316</v>
      </c>
      <c r="N117" s="239" t="s">
        <v>317</v>
      </c>
      <c r="Q117" s="240" t="s">
        <v>318</v>
      </c>
      <c r="R117" s="241" t="s">
        <v>319</v>
      </c>
      <c r="Y117" s="373" t="s">
        <v>964</v>
      </c>
      <c r="Z117" s="374" t="s">
        <v>958</v>
      </c>
      <c r="AA117" s="374" t="s">
        <v>959</v>
      </c>
      <c r="AB117" s="374" t="s">
        <v>960</v>
      </c>
      <c r="AC117" s="374" t="s">
        <v>961</v>
      </c>
      <c r="AD117" s="374" t="s">
        <v>962</v>
      </c>
      <c r="AE117" s="374" t="s">
        <v>963</v>
      </c>
      <c r="AF117" s="368"/>
      <c r="AG117" s="237" t="s">
        <v>971</v>
      </c>
      <c r="AH117" s="254" t="s">
        <v>319</v>
      </c>
      <c r="AI117" s="254" t="s">
        <v>972</v>
      </c>
      <c r="AJ117" s="237" t="s">
        <v>970</v>
      </c>
      <c r="AK117" s="254" t="s">
        <v>319</v>
      </c>
      <c r="AL117" s="254" t="s">
        <v>973</v>
      </c>
      <c r="AM117" s="367"/>
      <c r="AN117" s="254" t="s">
        <v>977</v>
      </c>
      <c r="AO117" s="241" t="s">
        <v>319</v>
      </c>
      <c r="AQ117" s="379" t="s">
        <v>320</v>
      </c>
    </row>
    <row r="118" spans="1:43" x14ac:dyDescent="0.25">
      <c r="C118" s="243">
        <f>'1_Combustibles fósiles'!G18</f>
        <v>0</v>
      </c>
      <c r="D118" s="244" t="s">
        <v>261</v>
      </c>
      <c r="E118" s="245">
        <f t="shared" ref="E118:N127" si="2">INDEX($D$84:$M$112,MATCH($D118,$C$84:$C$112,0),MATCH(E$115,$D$83:$M$83,0))</f>
        <v>0</v>
      </c>
      <c r="F118" s="245">
        <f t="shared" si="2"/>
        <v>0</v>
      </c>
      <c r="G118" s="245">
        <f t="shared" si="2"/>
        <v>0</v>
      </c>
      <c r="H118" s="245">
        <f t="shared" si="2"/>
        <v>0</v>
      </c>
      <c r="I118" s="245">
        <f t="shared" si="2"/>
        <v>0</v>
      </c>
      <c r="J118" s="245">
        <f t="shared" si="2"/>
        <v>0</v>
      </c>
      <c r="K118" s="245">
        <f t="shared" si="2"/>
        <v>0</v>
      </c>
      <c r="L118" s="245">
        <f t="shared" si="2"/>
        <v>0</v>
      </c>
      <c r="M118" s="245">
        <f t="shared" si="2"/>
        <v>0</v>
      </c>
      <c r="N118" s="245">
        <f t="shared" si="2"/>
        <v>0</v>
      </c>
      <c r="Q118" s="246" t="e">
        <f t="shared" ref="Q118:Q139" si="3">VLOOKUP(C118,$D$118:$N$142,$F$2-2009,0)</f>
        <v>#N/A</v>
      </c>
      <c r="R118" s="247" t="str">
        <f>IF(ISNUMBER('1_Combustibles fósiles'!I18),'1_Combustibles fósiles'!I18*'1_Combustibles fósiles'!H18,"")</f>
        <v/>
      </c>
      <c r="Y118" s="265" t="s">
        <v>261</v>
      </c>
      <c r="Z118" s="265" t="s">
        <v>280</v>
      </c>
      <c r="AA118" s="265" t="s">
        <v>280</v>
      </c>
      <c r="AB118" s="265">
        <v>0</v>
      </c>
      <c r="AC118" s="265">
        <v>0</v>
      </c>
      <c r="AD118" s="372">
        <v>0</v>
      </c>
      <c r="AE118" s="372">
        <v>0</v>
      </c>
      <c r="AG118" s="376" t="e">
        <f>VLOOKUP(C118,$Y$118:$AE$142,6,0)</f>
        <v>#N/A</v>
      </c>
      <c r="AH118" s="376" t="str">
        <f>IF(ISNUMBER('1_Combustibles fósiles'!J18),'1_Combustibles fósiles'!J18*'1_Combustibles fósiles'!H18,"")</f>
        <v/>
      </c>
      <c r="AI118" s="376" t="str">
        <f>IF(ISNUMBER(AH118),AH118*$D$657,"")</f>
        <v/>
      </c>
      <c r="AJ118" s="376" t="e">
        <f>VLOOKUP(C118,$Y$118:$AE$142,7,0)</f>
        <v>#N/A</v>
      </c>
      <c r="AK118" s="376" t="str">
        <f>IF(ISNUMBER('1_Combustibles fósiles'!K18),'1_Combustibles fósiles'!K18*'1_Combustibles fósiles'!H18,"")</f>
        <v/>
      </c>
      <c r="AL118" s="376" t="str">
        <f>IF(ISNUMBER(AK118),AK118*$D$658,"")</f>
        <v/>
      </c>
      <c r="AN118" s="376" t="str">
        <f>IF(ISNUMBER(Q118),R118+AI118+AL118,"")</f>
        <v/>
      </c>
      <c r="AO118" s="247" t="str">
        <f>IF(ISNUMBER('1_Combustibles fósiles'!L18),'1_Combustibles fósiles'!H18*'1_Combustibles fósiles'!L18,IF(ISNUMBER('1_Combustibles fósiles'!I18),AN118,""))</f>
        <v/>
      </c>
      <c r="AQ118" s="248">
        <f>SUM(AO118:AO139)</f>
        <v>0</v>
      </c>
    </row>
    <row r="119" spans="1:43" x14ac:dyDescent="0.25">
      <c r="C119" s="243">
        <f>'1_Combustibles fósiles'!G19</f>
        <v>0</v>
      </c>
      <c r="D119" s="244" t="s">
        <v>72</v>
      </c>
      <c r="E119" s="245">
        <f t="shared" si="2"/>
        <v>2.8679999999999999</v>
      </c>
      <c r="F119" s="245">
        <f t="shared" si="2"/>
        <v>2.8679999999999999</v>
      </c>
      <c r="G119" s="245">
        <f t="shared" si="2"/>
        <v>2.8679999999999999</v>
      </c>
      <c r="H119" s="245">
        <f t="shared" si="2"/>
        <v>2.8679999999999999</v>
      </c>
      <c r="I119" s="245">
        <f t="shared" si="2"/>
        <v>2.8679999999999999</v>
      </c>
      <c r="J119" s="245">
        <f t="shared" si="2"/>
        <v>2.8679999999999999</v>
      </c>
      <c r="K119" s="245">
        <f t="shared" si="2"/>
        <v>2.8679999999999999</v>
      </c>
      <c r="L119" s="245">
        <f t="shared" si="2"/>
        <v>2.8679999999999999</v>
      </c>
      <c r="M119" s="245">
        <f t="shared" si="2"/>
        <v>2.8679999999999999</v>
      </c>
      <c r="N119" s="245">
        <f t="shared" si="2"/>
        <v>2.8679999999999999</v>
      </c>
      <c r="Q119" s="246" t="e">
        <f t="shared" si="3"/>
        <v>#N/A</v>
      </c>
      <c r="R119" s="247" t="str">
        <f>IF(ISNUMBER('1_Combustibles fósiles'!I19),'1_Combustibles fósiles'!I19*'1_Combustibles fósiles'!H19,"")</f>
        <v/>
      </c>
      <c r="Y119" s="265" t="s">
        <v>72</v>
      </c>
      <c r="Z119" s="265">
        <v>0.9</v>
      </c>
      <c r="AA119" s="371">
        <f>43*277.78/1000</f>
        <v>11.94454</v>
      </c>
      <c r="AB119" s="265">
        <f>0.7/277777.78</f>
        <v>2.5199999798399997E-6</v>
      </c>
      <c r="AC119" s="265">
        <f>0.4/277777.78</f>
        <v>1.43999998848E-6</v>
      </c>
      <c r="AD119" s="372">
        <f>Z119*AA119*AB119</f>
        <v>2.709021650327826E-5</v>
      </c>
      <c r="AE119" s="372">
        <f>Z119*AA119*AC119</f>
        <v>1.5480123716159009E-5</v>
      </c>
      <c r="AG119" s="376" t="e">
        <f t="shared" ref="AG119:AG139" si="4">VLOOKUP(C119,$Y$118:$AE$142,6,0)</f>
        <v>#N/A</v>
      </c>
      <c r="AH119" s="376" t="str">
        <f>IF(ISNUMBER('1_Combustibles fósiles'!J19),'1_Combustibles fósiles'!J19*'1_Combustibles fósiles'!H19,"")</f>
        <v/>
      </c>
      <c r="AI119" s="376" t="str">
        <f t="shared" ref="AI119:AI139" si="5">IF(ISNUMBER(AH119),AH119*$D$657,"")</f>
        <v/>
      </c>
      <c r="AJ119" s="376" t="e">
        <f t="shared" ref="AJ119:AJ139" si="6">VLOOKUP(C119,$Y$118:$AE$142,7,0)</f>
        <v>#N/A</v>
      </c>
      <c r="AK119" s="376" t="str">
        <f>IF(ISNUMBER('1_Combustibles fósiles'!K19),'1_Combustibles fósiles'!K19*'1_Combustibles fósiles'!H19,"")</f>
        <v/>
      </c>
      <c r="AL119" s="376" t="str">
        <f t="shared" ref="AL119:AL139" si="7">IF(ISNUMBER(AK119),AK119*$D$658,"")</f>
        <v/>
      </c>
      <c r="AN119" s="376" t="str">
        <f t="shared" ref="AN119:AN139" si="8">IF(ISNUMBER(Q119),R119+AI119+AL119,"")</f>
        <v/>
      </c>
      <c r="AO119" s="247" t="str">
        <f>IF(ISNUMBER('1_Combustibles fósiles'!L19),'1_Combustibles fósiles'!H19*'1_Combustibles fósiles'!L19,IF(ISNUMBER('1_Combustibles fósiles'!I19),AN119,""))</f>
        <v/>
      </c>
    </row>
    <row r="120" spans="1:43" x14ac:dyDescent="0.25">
      <c r="C120" s="243">
        <f>'1_Combustibles fósiles'!G20</f>
        <v>0</v>
      </c>
      <c r="D120" s="244" t="s">
        <v>195</v>
      </c>
      <c r="E120" s="245">
        <f t="shared" si="2"/>
        <v>2.7080000000000002</v>
      </c>
      <c r="F120" s="245">
        <f t="shared" si="2"/>
        <v>2.7080000000000002</v>
      </c>
      <c r="G120" s="245">
        <f t="shared" si="2"/>
        <v>2.7080000000000002</v>
      </c>
      <c r="H120" s="245">
        <f t="shared" si="2"/>
        <v>2.7080000000000002</v>
      </c>
      <c r="I120" s="245">
        <f t="shared" si="2"/>
        <v>2.7080000000000002</v>
      </c>
      <c r="J120" s="245">
        <f t="shared" si="2"/>
        <v>2.7080000000000002</v>
      </c>
      <c r="K120" s="245">
        <f t="shared" si="2"/>
        <v>2.7080000000000002</v>
      </c>
      <c r="L120" s="245">
        <f t="shared" si="2"/>
        <v>2.7080000000000002</v>
      </c>
      <c r="M120" s="245">
        <f t="shared" si="2"/>
        <v>2.7080000000000002</v>
      </c>
      <c r="N120" s="245">
        <f t="shared" si="2"/>
        <v>2.6859999999999999</v>
      </c>
      <c r="Q120" s="246" t="e">
        <f t="shared" si="3"/>
        <v>#N/A</v>
      </c>
      <c r="R120" s="247" t="str">
        <f>IF(ISNUMBER('1_Combustibles fósiles'!I20),'1_Combustibles fósiles'!I20*'1_Combustibles fósiles'!H20,"")</f>
        <v/>
      </c>
      <c r="Y120" s="265" t="s">
        <v>195</v>
      </c>
      <c r="Z120" s="265">
        <v>0.88</v>
      </c>
      <c r="AA120" s="371">
        <f>43*277.78/1000</f>
        <v>11.94454</v>
      </c>
      <c r="AB120" s="265">
        <f>0.7/277777.78</f>
        <v>2.5199999798399997E-6</v>
      </c>
      <c r="AC120" s="265">
        <f>0.4/277777.78</f>
        <v>1.43999998848E-6</v>
      </c>
      <c r="AD120" s="372">
        <f>Z120*AA120*AB120</f>
        <v>2.6488211692094299E-5</v>
      </c>
      <c r="AE120" s="372">
        <f>Z120*AA120*AC120</f>
        <v>1.513612096691103E-5</v>
      </c>
      <c r="AG120" s="376" t="e">
        <f t="shared" si="4"/>
        <v>#N/A</v>
      </c>
      <c r="AH120" s="376" t="str">
        <f>IF(ISNUMBER('1_Combustibles fósiles'!J20),'1_Combustibles fósiles'!J20*'1_Combustibles fósiles'!H20,"")</f>
        <v/>
      </c>
      <c r="AI120" s="376" t="str">
        <f t="shared" si="5"/>
        <v/>
      </c>
      <c r="AJ120" s="376" t="e">
        <f t="shared" si="6"/>
        <v>#N/A</v>
      </c>
      <c r="AK120" s="376" t="str">
        <f>IF(ISNUMBER('1_Combustibles fósiles'!K20),'1_Combustibles fósiles'!K20*'1_Combustibles fósiles'!H20,"")</f>
        <v/>
      </c>
      <c r="AL120" s="376" t="str">
        <f t="shared" si="7"/>
        <v/>
      </c>
      <c r="AN120" s="376" t="str">
        <f t="shared" si="8"/>
        <v/>
      </c>
      <c r="AO120" s="247" t="str">
        <f>IF(ISNUMBER('1_Combustibles fósiles'!L20),'1_Combustibles fósiles'!H20*'1_Combustibles fósiles'!L20,IF(ISNUMBER('1_Combustibles fósiles'!I20),AN120,""))</f>
        <v/>
      </c>
    </row>
    <row r="121" spans="1:43" x14ac:dyDescent="0.25">
      <c r="C121" s="243">
        <f>'1_Combustibles fósiles'!G21</f>
        <v>0</v>
      </c>
      <c r="D121" s="244" t="s">
        <v>198</v>
      </c>
      <c r="E121" s="245">
        <f t="shared" si="2"/>
        <v>0.182</v>
      </c>
      <c r="F121" s="245">
        <f t="shared" si="2"/>
        <v>0.182</v>
      </c>
      <c r="G121" s="245">
        <f t="shared" si="2"/>
        <v>0.182</v>
      </c>
      <c r="H121" s="245">
        <f t="shared" si="2"/>
        <v>0.182</v>
      </c>
      <c r="I121" s="245">
        <f t="shared" si="2"/>
        <v>0.182</v>
      </c>
      <c r="J121" s="245">
        <f t="shared" si="2"/>
        <v>0.182</v>
      </c>
      <c r="K121" s="245">
        <f t="shared" si="2"/>
        <v>0.183</v>
      </c>
      <c r="L121" s="245">
        <f t="shared" si="2"/>
        <v>0.183</v>
      </c>
      <c r="M121" s="245">
        <f t="shared" si="2"/>
        <v>0.182</v>
      </c>
      <c r="N121" s="245">
        <f t="shared" si="2"/>
        <v>0.182</v>
      </c>
      <c r="Q121" s="246" t="e">
        <f t="shared" si="3"/>
        <v>#N/A</v>
      </c>
      <c r="R121" s="247" t="str">
        <f>IF(ISNUMBER('1_Combustibles fósiles'!I21),'1_Combustibles fósiles'!I21*'1_Combustibles fósiles'!H21,"")</f>
        <v/>
      </c>
      <c r="Y121" s="265" t="s">
        <v>198</v>
      </c>
      <c r="Z121" s="265" t="s">
        <v>280</v>
      </c>
      <c r="AA121" s="371" t="s">
        <v>280</v>
      </c>
      <c r="AB121" s="265">
        <f t="shared" ref="AB121:AC123" si="9">1/277777.78</f>
        <v>3.5999999712E-6</v>
      </c>
      <c r="AC121" s="265">
        <f t="shared" si="9"/>
        <v>3.5999999712E-6</v>
      </c>
      <c r="AD121" s="372">
        <f>AB121</f>
        <v>3.5999999712E-6</v>
      </c>
      <c r="AE121" s="372">
        <f>AC121</f>
        <v>3.5999999712E-6</v>
      </c>
      <c r="AG121" s="376" t="e">
        <f t="shared" si="4"/>
        <v>#N/A</v>
      </c>
      <c r="AH121" s="376" t="str">
        <f>IF(ISNUMBER('1_Combustibles fósiles'!J21),'1_Combustibles fósiles'!J21*'1_Combustibles fósiles'!H21,"")</f>
        <v/>
      </c>
      <c r="AI121" s="376" t="str">
        <f t="shared" si="5"/>
        <v/>
      </c>
      <c r="AJ121" s="376" t="e">
        <f t="shared" si="6"/>
        <v>#N/A</v>
      </c>
      <c r="AK121" s="376" t="str">
        <f>IF(ISNUMBER('1_Combustibles fósiles'!K21),'1_Combustibles fósiles'!K21*'1_Combustibles fósiles'!H21,"")</f>
        <v/>
      </c>
      <c r="AL121" s="376" t="str">
        <f t="shared" si="7"/>
        <v/>
      </c>
      <c r="AN121" s="376" t="str">
        <f t="shared" si="8"/>
        <v/>
      </c>
      <c r="AO121" s="247" t="str">
        <f>IF(ISNUMBER('1_Combustibles fósiles'!L21),'1_Combustibles fósiles'!H21*'1_Combustibles fósiles'!L21,IF(ISNUMBER('1_Combustibles fósiles'!I21),AN121,""))</f>
        <v/>
      </c>
    </row>
    <row r="122" spans="1:43" x14ac:dyDescent="0.25">
      <c r="C122" s="243">
        <f>'1_Combustibles fósiles'!G22</f>
        <v>0</v>
      </c>
      <c r="D122" s="244" t="s">
        <v>203</v>
      </c>
      <c r="E122" s="245">
        <f t="shared" si="2"/>
        <v>0.182</v>
      </c>
      <c r="F122" s="245">
        <f t="shared" si="2"/>
        <v>0.182</v>
      </c>
      <c r="G122" s="245">
        <f t="shared" si="2"/>
        <v>0.182</v>
      </c>
      <c r="H122" s="245">
        <f t="shared" si="2"/>
        <v>0.182</v>
      </c>
      <c r="I122" s="245">
        <f t="shared" si="2"/>
        <v>0.182</v>
      </c>
      <c r="J122" s="245">
        <f t="shared" si="2"/>
        <v>0.182</v>
      </c>
      <c r="K122" s="245">
        <f t="shared" si="2"/>
        <v>0.183</v>
      </c>
      <c r="L122" s="245">
        <f t="shared" si="2"/>
        <v>0.183</v>
      </c>
      <c r="M122" s="245">
        <f t="shared" si="2"/>
        <v>0.182</v>
      </c>
      <c r="N122" s="245">
        <f t="shared" si="2"/>
        <v>0.182</v>
      </c>
      <c r="Q122" s="246" t="e">
        <f t="shared" si="3"/>
        <v>#N/A</v>
      </c>
      <c r="R122" s="247" t="str">
        <f>IF(ISNUMBER('1_Combustibles fósiles'!I22),'1_Combustibles fósiles'!I22*'1_Combustibles fósiles'!H22,"")</f>
        <v/>
      </c>
      <c r="Y122" s="265" t="s">
        <v>203</v>
      </c>
      <c r="Z122" s="265" t="s">
        <v>280</v>
      </c>
      <c r="AA122" s="371" t="s">
        <v>280</v>
      </c>
      <c r="AB122" s="265">
        <f t="shared" si="9"/>
        <v>3.5999999712E-6</v>
      </c>
      <c r="AC122" s="265">
        <f t="shared" si="9"/>
        <v>3.5999999712E-6</v>
      </c>
      <c r="AD122" s="372">
        <f t="shared" ref="AD122:AD123" si="10">AB122</f>
        <v>3.5999999712E-6</v>
      </c>
      <c r="AE122" s="372">
        <f t="shared" ref="AE122:AE123" si="11">AC122</f>
        <v>3.5999999712E-6</v>
      </c>
      <c r="AG122" s="376" t="e">
        <f t="shared" si="4"/>
        <v>#N/A</v>
      </c>
      <c r="AH122" s="376" t="str">
        <f>IF(ISNUMBER('1_Combustibles fósiles'!J22),'1_Combustibles fósiles'!J22*'1_Combustibles fósiles'!H22,"")</f>
        <v/>
      </c>
      <c r="AI122" s="376" t="str">
        <f t="shared" si="5"/>
        <v/>
      </c>
      <c r="AJ122" s="376" t="e">
        <f t="shared" si="6"/>
        <v>#N/A</v>
      </c>
      <c r="AK122" s="376" t="str">
        <f>IF(ISNUMBER('1_Combustibles fósiles'!K22),'1_Combustibles fósiles'!K22*'1_Combustibles fósiles'!H22,"")</f>
        <v/>
      </c>
      <c r="AL122" s="376" t="str">
        <f t="shared" si="7"/>
        <v/>
      </c>
      <c r="AN122" s="376" t="str">
        <f t="shared" si="8"/>
        <v/>
      </c>
      <c r="AO122" s="247" t="str">
        <f>IF(ISNUMBER('1_Combustibles fósiles'!L22),'1_Combustibles fósiles'!H22*'1_Combustibles fósiles'!L22,IF(ISNUMBER('1_Combustibles fósiles'!I22),AN122,""))</f>
        <v/>
      </c>
    </row>
    <row r="123" spans="1:43" x14ac:dyDescent="0.25">
      <c r="C123" s="243">
        <f>'1_Combustibles fósiles'!G23</f>
        <v>0</v>
      </c>
      <c r="D123" s="244" t="s">
        <v>207</v>
      </c>
      <c r="E123" s="245">
        <f t="shared" si="2"/>
        <v>0.182</v>
      </c>
      <c r="F123" s="245">
        <f t="shared" si="2"/>
        <v>0.182</v>
      </c>
      <c r="G123" s="245">
        <f t="shared" si="2"/>
        <v>0.182</v>
      </c>
      <c r="H123" s="245">
        <f t="shared" si="2"/>
        <v>0.182</v>
      </c>
      <c r="I123" s="245">
        <f t="shared" si="2"/>
        <v>0.182</v>
      </c>
      <c r="J123" s="245">
        <f t="shared" si="2"/>
        <v>0.182</v>
      </c>
      <c r="K123" s="245">
        <f t="shared" si="2"/>
        <v>0.183</v>
      </c>
      <c r="L123" s="245">
        <f t="shared" si="2"/>
        <v>0.183</v>
      </c>
      <c r="M123" s="245">
        <f t="shared" si="2"/>
        <v>0.182</v>
      </c>
      <c r="N123" s="245">
        <f t="shared" si="2"/>
        <v>0.182</v>
      </c>
      <c r="Q123" s="246" t="e">
        <f t="shared" si="3"/>
        <v>#N/A</v>
      </c>
      <c r="R123" s="247" t="str">
        <f>IF(ISNUMBER('1_Combustibles fósiles'!I23),'1_Combustibles fósiles'!I23*'1_Combustibles fósiles'!H23,"")</f>
        <v/>
      </c>
      <c r="Y123" s="265" t="s">
        <v>207</v>
      </c>
      <c r="Z123" s="265" t="s">
        <v>280</v>
      </c>
      <c r="AA123" s="371" t="s">
        <v>280</v>
      </c>
      <c r="AB123" s="265">
        <f t="shared" si="9"/>
        <v>3.5999999712E-6</v>
      </c>
      <c r="AC123" s="265">
        <f t="shared" si="9"/>
        <v>3.5999999712E-6</v>
      </c>
      <c r="AD123" s="372">
        <f t="shared" si="10"/>
        <v>3.5999999712E-6</v>
      </c>
      <c r="AE123" s="372">
        <f t="shared" si="11"/>
        <v>3.5999999712E-6</v>
      </c>
      <c r="AG123" s="376" t="e">
        <f t="shared" si="4"/>
        <v>#N/A</v>
      </c>
      <c r="AH123" s="376" t="str">
        <f>IF(ISNUMBER('1_Combustibles fósiles'!J23),'1_Combustibles fósiles'!J23*'1_Combustibles fósiles'!H23,"")</f>
        <v/>
      </c>
      <c r="AI123" s="376" t="str">
        <f t="shared" si="5"/>
        <v/>
      </c>
      <c r="AJ123" s="376" t="e">
        <f t="shared" si="6"/>
        <v>#N/A</v>
      </c>
      <c r="AK123" s="376" t="str">
        <f>IF(ISNUMBER('1_Combustibles fósiles'!K23),'1_Combustibles fósiles'!K23*'1_Combustibles fósiles'!H23,"")</f>
        <v/>
      </c>
      <c r="AL123" s="376" t="str">
        <f t="shared" si="7"/>
        <v/>
      </c>
      <c r="AN123" s="376" t="str">
        <f t="shared" si="8"/>
        <v/>
      </c>
      <c r="AO123" s="247" t="str">
        <f>IF(ISNUMBER('1_Combustibles fósiles'!L23),'1_Combustibles fósiles'!H23*'1_Combustibles fósiles'!L23,IF(ISNUMBER('1_Combustibles fósiles'!I23),AN123,""))</f>
        <v/>
      </c>
    </row>
    <row r="124" spans="1:43" x14ac:dyDescent="0.25">
      <c r="C124" s="243">
        <f>'1_Combustibles fósiles'!G24</f>
        <v>0</v>
      </c>
      <c r="D124" s="244" t="s">
        <v>211</v>
      </c>
      <c r="E124" s="245">
        <f t="shared" si="2"/>
        <v>1.671</v>
      </c>
      <c r="F124" s="245">
        <f t="shared" si="2"/>
        <v>1.671</v>
      </c>
      <c r="G124" s="245">
        <f t="shared" si="2"/>
        <v>1.671</v>
      </c>
      <c r="H124" s="245">
        <f t="shared" si="2"/>
        <v>1.671</v>
      </c>
      <c r="I124" s="245">
        <f t="shared" si="2"/>
        <v>1.671</v>
      </c>
      <c r="J124" s="245">
        <f t="shared" si="2"/>
        <v>1.671</v>
      </c>
      <c r="K124" s="245">
        <f t="shared" si="2"/>
        <v>1.671</v>
      </c>
      <c r="L124" s="245">
        <f t="shared" si="2"/>
        <v>1.671</v>
      </c>
      <c r="M124" s="245">
        <f t="shared" si="2"/>
        <v>1.671</v>
      </c>
      <c r="N124" s="245">
        <f t="shared" si="2"/>
        <v>1.6279999999999999</v>
      </c>
      <c r="Q124" s="246" t="e">
        <f t="shared" si="3"/>
        <v>#N/A</v>
      </c>
      <c r="R124" s="247" t="str">
        <f>IF(ISNUMBER('1_Combustibles fósiles'!I24),'1_Combustibles fósiles'!I24*'1_Combustibles fósiles'!H24,"")</f>
        <v/>
      </c>
      <c r="Y124" s="265" t="s">
        <v>211</v>
      </c>
      <c r="Z124" s="265">
        <v>0.50760000000000005</v>
      </c>
      <c r="AA124" s="371">
        <f>47.3*277.78/1000</f>
        <v>13.138993999999999</v>
      </c>
      <c r="AB124" s="265">
        <f>0.9/277777.78</f>
        <v>3.2399999740800002E-6</v>
      </c>
      <c r="AC124" s="265">
        <f>4/277777.78</f>
        <v>1.43999998848E-5</v>
      </c>
      <c r="AD124" s="372">
        <f>Z124*AA124*AB124</f>
        <v>2.1608704695386361E-5</v>
      </c>
      <c r="AE124" s="372">
        <f>Z124*AA124*AC124</f>
        <v>9.6038687535050489E-5</v>
      </c>
      <c r="AG124" s="376" t="e">
        <f t="shared" si="4"/>
        <v>#N/A</v>
      </c>
      <c r="AH124" s="376" t="str">
        <f>IF(ISNUMBER('1_Combustibles fósiles'!J24),'1_Combustibles fósiles'!J24*'1_Combustibles fósiles'!H24,"")</f>
        <v/>
      </c>
      <c r="AI124" s="376" t="str">
        <f t="shared" si="5"/>
        <v/>
      </c>
      <c r="AJ124" s="376" t="e">
        <f t="shared" si="6"/>
        <v>#N/A</v>
      </c>
      <c r="AK124" s="376" t="str">
        <f>IF(ISNUMBER('1_Combustibles fósiles'!K24),'1_Combustibles fósiles'!K24*'1_Combustibles fósiles'!H24,"")</f>
        <v/>
      </c>
      <c r="AL124" s="376" t="str">
        <f t="shared" si="7"/>
        <v/>
      </c>
      <c r="AN124" s="376" t="str">
        <f t="shared" si="8"/>
        <v/>
      </c>
      <c r="AO124" s="247" t="str">
        <f>IF(ISNUMBER('1_Combustibles fósiles'!L24),'1_Combustibles fósiles'!H24*'1_Combustibles fósiles'!L24,IF(ISNUMBER('1_Combustibles fósiles'!I24),AN124,""))</f>
        <v/>
      </c>
    </row>
    <row r="125" spans="1:43" x14ac:dyDescent="0.25">
      <c r="C125" s="243">
        <f>'1_Combustibles fósiles'!G25</f>
        <v>0</v>
      </c>
      <c r="D125" s="244" t="s">
        <v>214</v>
      </c>
      <c r="E125" s="245">
        <f t="shared" si="2"/>
        <v>2.964</v>
      </c>
      <c r="F125" s="245">
        <f t="shared" si="2"/>
        <v>2.964</v>
      </c>
      <c r="G125" s="245">
        <f t="shared" si="2"/>
        <v>2.964</v>
      </c>
      <c r="H125" s="245">
        <f t="shared" si="2"/>
        <v>2.964</v>
      </c>
      <c r="I125" s="245">
        <f t="shared" si="2"/>
        <v>2.964</v>
      </c>
      <c r="J125" s="245">
        <f t="shared" si="2"/>
        <v>2.964</v>
      </c>
      <c r="K125" s="245">
        <f t="shared" si="2"/>
        <v>2.964</v>
      </c>
      <c r="L125" s="245">
        <f t="shared" si="2"/>
        <v>2.964</v>
      </c>
      <c r="M125" s="245">
        <f t="shared" si="2"/>
        <v>2.964</v>
      </c>
      <c r="N125" s="245">
        <f t="shared" si="2"/>
        <v>2.964</v>
      </c>
      <c r="Q125" s="246" t="e">
        <f t="shared" si="3"/>
        <v>#N/A</v>
      </c>
      <c r="R125" s="247" t="str">
        <f>IF(ISNUMBER('1_Combustibles fósiles'!I25),'1_Combustibles fósiles'!I25*'1_Combustibles fósiles'!H25,"")</f>
        <v/>
      </c>
      <c r="Y125" s="265" t="s">
        <v>214</v>
      </c>
      <c r="Z125" s="265" t="s">
        <v>280</v>
      </c>
      <c r="AA125" s="371">
        <f>44.78*277.78/1000</f>
        <v>12.438988399999998</v>
      </c>
      <c r="AB125" s="265">
        <f>0.9/277777.78</f>
        <v>3.2399999740800002E-6</v>
      </c>
      <c r="AC125" s="265">
        <f>4/277777.78</f>
        <v>1.43999998848E-5</v>
      </c>
      <c r="AD125" s="372">
        <f>AA125*AB125</f>
        <v>4.0302322093581415E-5</v>
      </c>
      <c r="AE125" s="372">
        <f>AA125*AC125</f>
        <v>1.7912143152702852E-4</v>
      </c>
      <c r="AG125" s="376" t="e">
        <f t="shared" si="4"/>
        <v>#N/A</v>
      </c>
      <c r="AH125" s="376" t="str">
        <f>IF(ISNUMBER('1_Combustibles fósiles'!J25),'1_Combustibles fósiles'!J25*'1_Combustibles fósiles'!H25,"")</f>
        <v/>
      </c>
      <c r="AI125" s="376" t="str">
        <f t="shared" si="5"/>
        <v/>
      </c>
      <c r="AJ125" s="376" t="e">
        <f t="shared" si="6"/>
        <v>#N/A</v>
      </c>
      <c r="AK125" s="376" t="str">
        <f>IF(ISNUMBER('1_Combustibles fósiles'!K25),'1_Combustibles fósiles'!K25*'1_Combustibles fósiles'!H25,"")</f>
        <v/>
      </c>
      <c r="AL125" s="376" t="str">
        <f t="shared" si="7"/>
        <v/>
      </c>
      <c r="AN125" s="376" t="str">
        <f t="shared" si="8"/>
        <v/>
      </c>
      <c r="AO125" s="247" t="str">
        <f>IF(ISNUMBER('1_Combustibles fósiles'!L25),'1_Combustibles fósiles'!H25*'1_Combustibles fósiles'!L25,IF(ISNUMBER('1_Combustibles fósiles'!I25),AN125,""))</f>
        <v/>
      </c>
    </row>
    <row r="126" spans="1:43" x14ac:dyDescent="0.25">
      <c r="C126" s="243">
        <f>'1_Combustibles fósiles'!G26</f>
        <v>0</v>
      </c>
      <c r="D126" s="244" t="s">
        <v>263</v>
      </c>
      <c r="E126" s="245">
        <f t="shared" si="2"/>
        <v>2.9380000000000002</v>
      </c>
      <c r="F126" s="245">
        <f t="shared" si="2"/>
        <v>2.9380000000000002</v>
      </c>
      <c r="G126" s="245">
        <f t="shared" si="2"/>
        <v>2.9380000000000002</v>
      </c>
      <c r="H126" s="245">
        <f t="shared" si="2"/>
        <v>2.9380000000000002</v>
      </c>
      <c r="I126" s="245">
        <f t="shared" si="2"/>
        <v>2.9380000000000002</v>
      </c>
      <c r="J126" s="245">
        <f t="shared" si="2"/>
        <v>2.9380000000000002</v>
      </c>
      <c r="K126" s="245">
        <f t="shared" si="2"/>
        <v>2.9380000000000002</v>
      </c>
      <c r="L126" s="245">
        <f t="shared" si="2"/>
        <v>2.9380000000000002</v>
      </c>
      <c r="M126" s="245">
        <f t="shared" si="2"/>
        <v>2.9380000000000002</v>
      </c>
      <c r="N126" s="245">
        <f t="shared" si="2"/>
        <v>2.9380000000000002</v>
      </c>
      <c r="Q126" s="246" t="e">
        <f t="shared" si="3"/>
        <v>#N/A</v>
      </c>
      <c r="R126" s="247" t="str">
        <f>IF(ISNUMBER('1_Combustibles fósiles'!I26),'1_Combustibles fósiles'!I26*'1_Combustibles fósiles'!H26,"")</f>
        <v/>
      </c>
      <c r="Y126" s="265" t="s">
        <v>263</v>
      </c>
      <c r="Z126" s="265" t="s">
        <v>280</v>
      </c>
      <c r="AA126" s="371">
        <f>46.2*277.78/1000</f>
        <v>12.833435999999999</v>
      </c>
      <c r="AB126" s="265">
        <f>0.9/277777.78</f>
        <v>3.2399999740800002E-6</v>
      </c>
      <c r="AC126" s="265">
        <f>4/277777.78</f>
        <v>1.43999998848E-5</v>
      </c>
      <c r="AD126" s="372">
        <f t="shared" ref="AD126:AD130" si="12">AA126*AB126</f>
        <v>4.1580332307357336E-5</v>
      </c>
      <c r="AE126" s="372">
        <f t="shared" ref="AE126:AE130" si="13">AA126*AC126</f>
        <v>1.8480147692158817E-4</v>
      </c>
      <c r="AG126" s="376" t="e">
        <f t="shared" si="4"/>
        <v>#N/A</v>
      </c>
      <c r="AH126" s="376" t="str">
        <f>IF(ISNUMBER('1_Combustibles fósiles'!J26),'1_Combustibles fósiles'!J26*'1_Combustibles fósiles'!H26,"")</f>
        <v/>
      </c>
      <c r="AI126" s="376" t="str">
        <f t="shared" si="5"/>
        <v/>
      </c>
      <c r="AJ126" s="376" t="e">
        <f t="shared" si="6"/>
        <v>#N/A</v>
      </c>
      <c r="AK126" s="376" t="str">
        <f>IF(ISNUMBER('1_Combustibles fósiles'!K26),'1_Combustibles fósiles'!K26*'1_Combustibles fósiles'!H26,"")</f>
        <v/>
      </c>
      <c r="AL126" s="376" t="str">
        <f t="shared" si="7"/>
        <v/>
      </c>
      <c r="AN126" s="376" t="str">
        <f t="shared" si="8"/>
        <v/>
      </c>
      <c r="AO126" s="247" t="str">
        <f>IF(ISNUMBER('1_Combustibles fósiles'!L26),'1_Combustibles fósiles'!H26*'1_Combustibles fósiles'!L26,IF(ISNUMBER('1_Combustibles fósiles'!I26),AN126,""))</f>
        <v/>
      </c>
    </row>
    <row r="127" spans="1:43" x14ac:dyDescent="0.25">
      <c r="C127" s="243">
        <f>'1_Combustibles fósiles'!G27</f>
        <v>0</v>
      </c>
      <c r="D127" s="244" t="s">
        <v>222</v>
      </c>
      <c r="E127" s="245">
        <f t="shared" si="2"/>
        <v>3.1269999999999998</v>
      </c>
      <c r="F127" s="245">
        <f t="shared" si="2"/>
        <v>3.1269999999999998</v>
      </c>
      <c r="G127" s="245">
        <f t="shared" si="2"/>
        <v>3.1269999999999998</v>
      </c>
      <c r="H127" s="245">
        <f t="shared" si="2"/>
        <v>3.1269999999999998</v>
      </c>
      <c r="I127" s="245">
        <f t="shared" si="2"/>
        <v>3.1269999999999998</v>
      </c>
      <c r="J127" s="245">
        <f t="shared" si="2"/>
        <v>3.1269999999999998</v>
      </c>
      <c r="K127" s="245">
        <f t="shared" si="2"/>
        <v>3.1269999999999998</v>
      </c>
      <c r="L127" s="245">
        <f t="shared" si="2"/>
        <v>3.1269999999999998</v>
      </c>
      <c r="M127" s="245">
        <f t="shared" si="2"/>
        <v>3.1269999999999998</v>
      </c>
      <c r="N127" s="245">
        <f t="shared" si="2"/>
        <v>3.1269999999999998</v>
      </c>
      <c r="Q127" s="246" t="e">
        <f t="shared" si="3"/>
        <v>#N/A</v>
      </c>
      <c r="R127" s="247" t="str">
        <f>IF(ISNUMBER('1_Combustibles fósiles'!I27),'1_Combustibles fósiles'!I27*'1_Combustibles fósiles'!H27,"")</f>
        <v/>
      </c>
      <c r="Y127" s="265" t="s">
        <v>222</v>
      </c>
      <c r="Z127" s="265" t="s">
        <v>280</v>
      </c>
      <c r="AA127" s="371">
        <f>40.4*277.78/1000</f>
        <v>11.222311999999999</v>
      </c>
      <c r="AB127" s="265">
        <f>1.4/277777.78</f>
        <v>5.0399999596799993E-6</v>
      </c>
      <c r="AC127" s="265">
        <f>0.3/277777.78</f>
        <v>1.0799999913599999E-6</v>
      </c>
      <c r="AD127" s="372">
        <f t="shared" si="12"/>
        <v>5.6560452027516364E-5</v>
      </c>
      <c r="AE127" s="372">
        <f t="shared" si="13"/>
        <v>1.2120096863039222E-5</v>
      </c>
      <c r="AG127" s="376" t="e">
        <f t="shared" si="4"/>
        <v>#N/A</v>
      </c>
      <c r="AH127" s="376" t="str">
        <f>IF(ISNUMBER('1_Combustibles fósiles'!J27),'1_Combustibles fósiles'!J27*'1_Combustibles fósiles'!H27,"")</f>
        <v/>
      </c>
      <c r="AI127" s="376" t="str">
        <f t="shared" si="5"/>
        <v/>
      </c>
      <c r="AJ127" s="376" t="e">
        <f t="shared" si="6"/>
        <v>#N/A</v>
      </c>
      <c r="AK127" s="376" t="str">
        <f>IF(ISNUMBER('1_Combustibles fósiles'!K27),'1_Combustibles fósiles'!K27*'1_Combustibles fósiles'!H27,"")</f>
        <v/>
      </c>
      <c r="AL127" s="376" t="str">
        <f t="shared" si="7"/>
        <v/>
      </c>
      <c r="AN127" s="376" t="str">
        <f t="shared" si="8"/>
        <v/>
      </c>
      <c r="AO127" s="247" t="str">
        <f>IF(ISNUMBER('1_Combustibles fósiles'!L27),'1_Combustibles fósiles'!H27*'1_Combustibles fósiles'!L27,IF(ISNUMBER('1_Combustibles fósiles'!I27),AN127,""))</f>
        <v/>
      </c>
    </row>
    <row r="128" spans="1:43" x14ac:dyDescent="0.25">
      <c r="C128" s="243">
        <f>'1_Combustibles fósiles'!G28</f>
        <v>0</v>
      </c>
      <c r="D128" s="244" t="s">
        <v>225</v>
      </c>
      <c r="E128" s="245">
        <f t="shared" ref="E128:N142" si="14">INDEX($D$84:$M$112,MATCH($D128,$C$84:$C$112,0),MATCH(E$115,$D$83:$M$83,0))</f>
        <v>2.2989999999999999</v>
      </c>
      <c r="F128" s="245">
        <f t="shared" si="14"/>
        <v>2.2989999999999999</v>
      </c>
      <c r="G128" s="245">
        <f t="shared" si="14"/>
        <v>2.2989999999999999</v>
      </c>
      <c r="H128" s="245">
        <f t="shared" si="14"/>
        <v>2.2989999999999999</v>
      </c>
      <c r="I128" s="245">
        <f t="shared" si="14"/>
        <v>2.2989999999999999</v>
      </c>
      <c r="J128" s="245">
        <f t="shared" si="14"/>
        <v>2.0059999999999998</v>
      </c>
      <c r="K128" s="245">
        <f t="shared" si="14"/>
        <v>2.2269999999999999</v>
      </c>
      <c r="L128" s="245">
        <f t="shared" si="14"/>
        <v>2.2269999999999999</v>
      </c>
      <c r="M128" s="245">
        <f t="shared" si="14"/>
        <v>1.9139999999999999</v>
      </c>
      <c r="N128" s="245">
        <f t="shared" si="14"/>
        <v>2.718</v>
      </c>
      <c r="Q128" s="246" t="e">
        <f t="shared" si="3"/>
        <v>#N/A</v>
      </c>
      <c r="R128" s="247" t="str">
        <f>IF(ISNUMBER('1_Combustibles fósiles'!I28),'1_Combustibles fósiles'!I28*'1_Combustibles fósiles'!H28,"")</f>
        <v/>
      </c>
      <c r="Y128" s="265" t="s">
        <v>225</v>
      </c>
      <c r="Z128" s="265" t="s">
        <v>280</v>
      </c>
      <c r="AA128" s="371">
        <f>27.34*277.78/1000</f>
        <v>7.5945051999999995</v>
      </c>
      <c r="AB128" s="265">
        <f>1/277777.78</f>
        <v>3.5999999712E-6</v>
      </c>
      <c r="AC128" s="265">
        <f>0.7/277777.78</f>
        <v>2.5199999798399997E-6</v>
      </c>
      <c r="AD128" s="372">
        <f t="shared" si="12"/>
        <v>2.7340218501278247E-5</v>
      </c>
      <c r="AE128" s="372">
        <f t="shared" si="13"/>
        <v>1.913815295089477E-5</v>
      </c>
      <c r="AG128" s="376" t="e">
        <f t="shared" si="4"/>
        <v>#N/A</v>
      </c>
      <c r="AH128" s="376" t="str">
        <f>IF(ISNUMBER('1_Combustibles fósiles'!J28),'1_Combustibles fósiles'!J28*'1_Combustibles fósiles'!H28,"")</f>
        <v/>
      </c>
      <c r="AI128" s="376" t="str">
        <f t="shared" si="5"/>
        <v/>
      </c>
      <c r="AJ128" s="376" t="e">
        <f t="shared" si="6"/>
        <v>#N/A</v>
      </c>
      <c r="AK128" s="376" t="str">
        <f>IF(ISNUMBER('1_Combustibles fósiles'!K28),'1_Combustibles fósiles'!K28*'1_Combustibles fósiles'!H28,"")</f>
        <v/>
      </c>
      <c r="AL128" s="376" t="str">
        <f t="shared" si="7"/>
        <v/>
      </c>
      <c r="AN128" s="376" t="str">
        <f t="shared" si="8"/>
        <v/>
      </c>
      <c r="AO128" s="247" t="str">
        <f>IF(ISNUMBER('1_Combustibles fósiles'!L28),'1_Combustibles fósiles'!H28*'1_Combustibles fósiles'!L28,IF(ISNUMBER('1_Combustibles fósiles'!I28),AN128,""))</f>
        <v/>
      </c>
    </row>
    <row r="129" spans="3:42" x14ac:dyDescent="0.25">
      <c r="C129" s="243">
        <f>'1_Combustibles fósiles'!G29</f>
        <v>0</v>
      </c>
      <c r="D129" s="244" t="s">
        <v>227</v>
      </c>
      <c r="E129" s="245">
        <f t="shared" si="14"/>
        <v>2.5790000000000002</v>
      </c>
      <c r="F129" s="245">
        <f t="shared" si="14"/>
        <v>2.5790000000000002</v>
      </c>
      <c r="G129" s="245">
        <f t="shared" si="14"/>
        <v>2.5790000000000002</v>
      </c>
      <c r="H129" s="245">
        <f t="shared" si="14"/>
        <v>2.5790000000000002</v>
      </c>
      <c r="I129" s="245">
        <f t="shared" si="14"/>
        <v>2.5790000000000002</v>
      </c>
      <c r="J129" s="245">
        <f t="shared" si="14"/>
        <v>2.4300000000000002</v>
      </c>
      <c r="K129" s="245">
        <f t="shared" si="14"/>
        <v>2.444</v>
      </c>
      <c r="L129" s="245">
        <f t="shared" si="14"/>
        <v>2.444</v>
      </c>
      <c r="M129" s="245">
        <f t="shared" si="14"/>
        <v>2.4289999999999998</v>
      </c>
      <c r="N129" s="245">
        <f t="shared" si="14"/>
        <v>2.4689999999999999</v>
      </c>
      <c r="O129" s="216"/>
      <c r="Q129" s="246" t="e">
        <f t="shared" si="3"/>
        <v>#N/A</v>
      </c>
      <c r="R129" s="247" t="str">
        <f>IF(ISNUMBER('1_Combustibles fósiles'!I29),'1_Combustibles fósiles'!I29*'1_Combustibles fósiles'!H29,"")</f>
        <v/>
      </c>
      <c r="Y129" s="265" t="s">
        <v>227</v>
      </c>
      <c r="Z129" s="265" t="s">
        <v>280</v>
      </c>
      <c r="AA129" s="371">
        <f>24.45*277.78/1000</f>
        <v>6.7917209999999999</v>
      </c>
      <c r="AB129" s="265">
        <f>1/277777.78</f>
        <v>3.5999999712E-6</v>
      </c>
      <c r="AC129" s="265">
        <f t="shared" ref="AC129:AC130" si="15">0.7/277777.78</f>
        <v>2.5199999798399997E-6</v>
      </c>
      <c r="AD129" s="372">
        <f t="shared" si="12"/>
        <v>2.4450195404398433E-5</v>
      </c>
      <c r="AE129" s="372">
        <f t="shared" si="13"/>
        <v>1.7115136783078904E-5</v>
      </c>
      <c r="AG129" s="376" t="e">
        <f t="shared" si="4"/>
        <v>#N/A</v>
      </c>
      <c r="AH129" s="376" t="str">
        <f>IF(ISNUMBER('1_Combustibles fósiles'!J29),'1_Combustibles fósiles'!J29*'1_Combustibles fósiles'!H29,"")</f>
        <v/>
      </c>
      <c r="AI129" s="376" t="str">
        <f t="shared" si="5"/>
        <v/>
      </c>
      <c r="AJ129" s="376" t="e">
        <f t="shared" si="6"/>
        <v>#N/A</v>
      </c>
      <c r="AK129" s="376" t="str">
        <f>IF(ISNUMBER('1_Combustibles fósiles'!K29),'1_Combustibles fósiles'!K29*'1_Combustibles fósiles'!H29,"")</f>
        <v/>
      </c>
      <c r="AL129" s="376" t="str">
        <f t="shared" si="7"/>
        <v/>
      </c>
      <c r="AN129" s="376" t="str">
        <f t="shared" si="8"/>
        <v/>
      </c>
      <c r="AO129" s="247" t="str">
        <f>IF(ISNUMBER('1_Combustibles fósiles'!L29),'1_Combustibles fósiles'!H29*'1_Combustibles fósiles'!L29,IF(ISNUMBER('1_Combustibles fósiles'!I29),AN129,""))</f>
        <v/>
      </c>
    </row>
    <row r="130" spans="3:42" x14ac:dyDescent="0.25">
      <c r="C130" s="243">
        <f>'1_Combustibles fósiles'!G30</f>
        <v>0</v>
      </c>
      <c r="D130" s="244" t="s">
        <v>230</v>
      </c>
      <c r="E130" s="245">
        <f t="shared" si="14"/>
        <v>3.169</v>
      </c>
      <c r="F130" s="245">
        <f t="shared" si="14"/>
        <v>3.169</v>
      </c>
      <c r="G130" s="245">
        <f t="shared" si="14"/>
        <v>3.169</v>
      </c>
      <c r="H130" s="245">
        <f t="shared" si="14"/>
        <v>3.169</v>
      </c>
      <c r="I130" s="245">
        <f t="shared" si="14"/>
        <v>3.169</v>
      </c>
      <c r="J130" s="245">
        <f t="shared" si="14"/>
        <v>3.169</v>
      </c>
      <c r="K130" s="245">
        <f t="shared" si="14"/>
        <v>3.169</v>
      </c>
      <c r="L130" s="245">
        <f t="shared" si="14"/>
        <v>3.169</v>
      </c>
      <c r="M130" s="245">
        <f t="shared" si="14"/>
        <v>3.169</v>
      </c>
      <c r="N130" s="245">
        <f t="shared" si="14"/>
        <v>3.169</v>
      </c>
      <c r="O130" s="216"/>
      <c r="Q130" s="246" t="e">
        <f t="shared" si="3"/>
        <v>#N/A</v>
      </c>
      <c r="R130" s="247" t="str">
        <f>IF(ISNUMBER('1_Combustibles fósiles'!I30),'1_Combustibles fósiles'!I30*'1_Combustibles fósiles'!H30,"")</f>
        <v/>
      </c>
      <c r="Y130" s="265" t="s">
        <v>230</v>
      </c>
      <c r="Z130" s="265" t="s">
        <v>280</v>
      </c>
      <c r="AA130" s="371">
        <f>32.5*277.78/1000</f>
        <v>9.027849999999999</v>
      </c>
      <c r="AB130" s="265">
        <f>1/277777.78</f>
        <v>3.5999999712E-6</v>
      </c>
      <c r="AC130" s="265">
        <f t="shared" si="15"/>
        <v>2.5199999798399997E-6</v>
      </c>
      <c r="AD130" s="372">
        <f t="shared" si="12"/>
        <v>3.2500259739997919E-5</v>
      </c>
      <c r="AE130" s="372">
        <f t="shared" si="13"/>
        <v>2.2750181817998537E-5</v>
      </c>
      <c r="AG130" s="376" t="e">
        <f t="shared" si="4"/>
        <v>#N/A</v>
      </c>
      <c r="AH130" s="376" t="str">
        <f>IF(ISNUMBER('1_Combustibles fósiles'!J30),'1_Combustibles fósiles'!J30*'1_Combustibles fósiles'!H30,"")</f>
        <v/>
      </c>
      <c r="AI130" s="376" t="str">
        <f t="shared" si="5"/>
        <v/>
      </c>
      <c r="AJ130" s="376" t="e">
        <f t="shared" si="6"/>
        <v>#N/A</v>
      </c>
      <c r="AK130" s="376" t="str">
        <f>IF(ISNUMBER('1_Combustibles fósiles'!K30),'1_Combustibles fósiles'!K30*'1_Combustibles fósiles'!H30,"")</f>
        <v/>
      </c>
      <c r="AL130" s="376" t="str">
        <f t="shared" si="7"/>
        <v/>
      </c>
      <c r="AN130" s="376" t="str">
        <f t="shared" si="8"/>
        <v/>
      </c>
      <c r="AO130" s="247" t="str">
        <f>IF(ISNUMBER('1_Combustibles fósiles'!L30),'1_Combustibles fósiles'!H30*'1_Combustibles fósiles'!L30,IF(ISNUMBER('1_Combustibles fósiles'!I30),AN130,""))</f>
        <v/>
      </c>
    </row>
    <row r="131" spans="3:42" x14ac:dyDescent="0.25">
      <c r="C131" s="243">
        <f>'1_Combustibles fósiles'!G31</f>
        <v>0</v>
      </c>
      <c r="D131" s="249" t="s">
        <v>86</v>
      </c>
      <c r="E131" s="245">
        <f t="shared" si="14"/>
        <v>2.2050000000000001</v>
      </c>
      <c r="F131" s="245">
        <f t="shared" si="14"/>
        <v>2.2010000000000001</v>
      </c>
      <c r="G131" s="245">
        <f t="shared" si="14"/>
        <v>2.2050000000000001</v>
      </c>
      <c r="H131" s="245">
        <f t="shared" si="14"/>
        <v>2.2050000000000001</v>
      </c>
      <c r="I131" s="245">
        <f t="shared" si="14"/>
        <v>2.2050000000000001</v>
      </c>
      <c r="J131" s="245">
        <f t="shared" si="14"/>
        <v>2.1960000000000002</v>
      </c>
      <c r="K131" s="245">
        <f t="shared" si="14"/>
        <v>2.1800000000000002</v>
      </c>
      <c r="L131" s="245">
        <f t="shared" si="14"/>
        <v>2.157</v>
      </c>
      <c r="M131" s="245" t="str">
        <f t="shared" si="14"/>
        <v>-</v>
      </c>
      <c r="N131" s="245" t="str">
        <f t="shared" si="14"/>
        <v>-</v>
      </c>
      <c r="Q131" s="246" t="e">
        <f t="shared" si="3"/>
        <v>#N/A</v>
      </c>
      <c r="R131" s="247" t="str">
        <f>IF(ISNUMBER('1_Combustibles fósiles'!I31),'1_Combustibles fósiles'!I31*'1_Combustibles fósiles'!H31,"")</f>
        <v/>
      </c>
      <c r="Y131" s="265" t="s">
        <v>86</v>
      </c>
      <c r="Z131" s="265">
        <v>0.77500000000000002</v>
      </c>
      <c r="AA131" s="371">
        <f>44.3*277.78/1000</f>
        <v>12.305653999999999</v>
      </c>
      <c r="AB131" s="265">
        <f>3.8/277777.78</f>
        <v>1.3679999890559999E-5</v>
      </c>
      <c r="AC131" s="265">
        <f>5.7/277777.78</f>
        <v>2.051999983584E-5</v>
      </c>
      <c r="AD131" s="372">
        <f>Z131*AA131*AB131</f>
        <v>1.3046454266428363E-4</v>
      </c>
      <c r="AE131" s="372">
        <f>Z131*AA131*AC131</f>
        <v>1.9569681399642544E-4</v>
      </c>
      <c r="AG131" s="376" t="e">
        <f t="shared" si="4"/>
        <v>#N/A</v>
      </c>
      <c r="AH131" s="376" t="str">
        <f>IF(ISNUMBER('1_Combustibles fósiles'!J31),'1_Combustibles fósiles'!J31*'1_Combustibles fósiles'!H31,"")</f>
        <v/>
      </c>
      <c r="AI131" s="376" t="str">
        <f t="shared" si="5"/>
        <v/>
      </c>
      <c r="AJ131" s="376" t="e">
        <f t="shared" si="6"/>
        <v>#N/A</v>
      </c>
      <c r="AK131" s="376" t="str">
        <f>IF(ISNUMBER('1_Combustibles fósiles'!K31),'1_Combustibles fósiles'!K31*'1_Combustibles fósiles'!H31,"")</f>
        <v/>
      </c>
      <c r="AL131" s="376" t="str">
        <f t="shared" si="7"/>
        <v/>
      </c>
      <c r="AN131" s="376" t="str">
        <f t="shared" si="8"/>
        <v/>
      </c>
      <c r="AO131" s="247" t="str">
        <f>IF(ISNUMBER('1_Combustibles fósiles'!L31),'1_Combustibles fósiles'!H31*'1_Combustibles fósiles'!L31,IF(ISNUMBER('1_Combustibles fósiles'!I31),AN131,""))</f>
        <v/>
      </c>
    </row>
    <row r="132" spans="3:42" x14ac:dyDescent="0.25">
      <c r="C132" s="243">
        <f>'1_Combustibles fósiles'!G32</f>
        <v>0</v>
      </c>
      <c r="D132" s="249" t="s">
        <v>196</v>
      </c>
      <c r="E132" s="245">
        <f t="shared" si="14"/>
        <v>2.4929999999999999</v>
      </c>
      <c r="F132" s="245">
        <f t="shared" si="14"/>
        <v>2.4670000000000001</v>
      </c>
      <c r="G132" s="245">
        <f t="shared" si="14"/>
        <v>2.544</v>
      </c>
      <c r="H132" s="245">
        <f t="shared" si="14"/>
        <v>2.544</v>
      </c>
      <c r="I132" s="245">
        <f t="shared" si="14"/>
        <v>2.544</v>
      </c>
      <c r="J132" s="245">
        <f t="shared" si="14"/>
        <v>2.5390000000000001</v>
      </c>
      <c r="K132" s="245">
        <f t="shared" si="14"/>
        <v>2.52</v>
      </c>
      <c r="L132" s="245">
        <f t="shared" si="14"/>
        <v>2.4929999999999999</v>
      </c>
      <c r="M132" s="245" t="str">
        <f t="shared" si="14"/>
        <v>-</v>
      </c>
      <c r="N132" s="245" t="str">
        <f t="shared" si="14"/>
        <v>-</v>
      </c>
      <c r="Q132" s="246" t="e">
        <f t="shared" si="3"/>
        <v>#N/A</v>
      </c>
      <c r="R132" s="247" t="str">
        <f>IF(ISNUMBER('1_Combustibles fósiles'!I32),'1_Combustibles fósiles'!I32*'1_Combustibles fósiles'!H32,"")</f>
        <v/>
      </c>
      <c r="Y132" s="265" t="s">
        <v>196</v>
      </c>
      <c r="Z132" s="265">
        <v>0.84499999999999997</v>
      </c>
      <c r="AA132" s="371">
        <f>43*277.78/1000</f>
        <v>11.94454</v>
      </c>
      <c r="AB132" s="265">
        <f>3.9/277777.78</f>
        <v>1.4039999887679998E-5</v>
      </c>
      <c r="AC132" s="265">
        <f>3.9/277777.78</f>
        <v>1.4039999887679998E-5</v>
      </c>
      <c r="AD132" s="372">
        <f t="shared" ref="AD132:AD141" si="16">Z132*AA132*AB132</f>
        <v>1.417076325183389E-4</v>
      </c>
      <c r="AE132" s="372">
        <f t="shared" ref="AE132:AE141" si="17">Z132*AA132*AC132</f>
        <v>1.417076325183389E-4</v>
      </c>
      <c r="AG132" s="376" t="e">
        <f t="shared" si="4"/>
        <v>#N/A</v>
      </c>
      <c r="AH132" s="376" t="str">
        <f>IF(ISNUMBER('1_Combustibles fósiles'!J32),'1_Combustibles fósiles'!J32*'1_Combustibles fósiles'!H32,"")</f>
        <v/>
      </c>
      <c r="AI132" s="376" t="str">
        <f t="shared" si="5"/>
        <v/>
      </c>
      <c r="AJ132" s="376" t="e">
        <f t="shared" si="6"/>
        <v>#N/A</v>
      </c>
      <c r="AK132" s="376" t="str">
        <f>IF(ISNUMBER('1_Combustibles fósiles'!K32),'1_Combustibles fósiles'!K32*'1_Combustibles fósiles'!H32,"")</f>
        <v/>
      </c>
      <c r="AL132" s="376" t="str">
        <f t="shared" si="7"/>
        <v/>
      </c>
      <c r="AN132" s="376" t="str">
        <f t="shared" si="8"/>
        <v/>
      </c>
      <c r="AO132" s="247" t="str">
        <f>IF(ISNUMBER('1_Combustibles fósiles'!L32),'1_Combustibles fósiles'!H32*'1_Combustibles fósiles'!L32,IF(ISNUMBER('1_Combustibles fósiles'!I32),AN132,""))</f>
        <v/>
      </c>
    </row>
    <row r="133" spans="3:42" x14ac:dyDescent="0.25">
      <c r="C133" s="243">
        <f>'1_Combustibles fósiles'!G33</f>
        <v>0</v>
      </c>
      <c r="D133" s="244" t="s">
        <v>85</v>
      </c>
      <c r="E133" s="245">
        <f t="shared" si="14"/>
        <v>2.1800000000000002</v>
      </c>
      <c r="F133" s="245">
        <f t="shared" si="14"/>
        <v>2.1800000000000002</v>
      </c>
      <c r="G133" s="245">
        <f t="shared" si="14"/>
        <v>2.1800000000000002</v>
      </c>
      <c r="H133" s="245">
        <f t="shared" si="14"/>
        <v>2.1800000000000002</v>
      </c>
      <c r="I133" s="245">
        <f t="shared" si="14"/>
        <v>2.1800000000000002</v>
      </c>
      <c r="J133" s="245">
        <f t="shared" si="14"/>
        <v>2.1800000000000002</v>
      </c>
      <c r="K133" s="245">
        <f t="shared" si="14"/>
        <v>2.1800000000000002</v>
      </c>
      <c r="L133" s="245">
        <f t="shared" si="14"/>
        <v>2.1800000000000002</v>
      </c>
      <c r="M133" s="245">
        <f t="shared" si="14"/>
        <v>2.1800000000000002</v>
      </c>
      <c r="N133" s="245">
        <f t="shared" si="14"/>
        <v>2.2440000000000002</v>
      </c>
      <c r="Q133" s="246" t="e">
        <f t="shared" si="3"/>
        <v>#N/A</v>
      </c>
      <c r="R133" s="247" t="str">
        <f>IF(ISNUMBER('1_Combustibles fósiles'!I33),'1_Combustibles fósiles'!I33*'1_Combustibles fósiles'!H33,"")</f>
        <v/>
      </c>
      <c r="X133">
        <v>0.95</v>
      </c>
      <c r="Y133" s="265" t="s">
        <v>85</v>
      </c>
      <c r="Z133" s="265">
        <v>0.77500000000000002</v>
      </c>
      <c r="AA133" s="371">
        <f>44.3*277.78/1000</f>
        <v>12.305653999999999</v>
      </c>
      <c r="AB133" s="265">
        <f>AB131</f>
        <v>1.3679999890559999E-5</v>
      </c>
      <c r="AC133" s="265">
        <f>AC131</f>
        <v>2.051999983584E-5</v>
      </c>
      <c r="AD133" s="372">
        <f t="shared" si="16"/>
        <v>1.3046454266428363E-4</v>
      </c>
      <c r="AE133" s="372">
        <f t="shared" si="17"/>
        <v>1.9569681399642544E-4</v>
      </c>
      <c r="AG133" s="376" t="e">
        <f t="shared" si="4"/>
        <v>#N/A</v>
      </c>
      <c r="AH133" s="376" t="str">
        <f>IF(ISNUMBER('1_Combustibles fósiles'!J33),'1_Combustibles fósiles'!J33*'1_Combustibles fósiles'!H33,"")</f>
        <v/>
      </c>
      <c r="AI133" s="376" t="str">
        <f t="shared" si="5"/>
        <v/>
      </c>
      <c r="AJ133" s="376" t="e">
        <f t="shared" si="6"/>
        <v>#N/A</v>
      </c>
      <c r="AK133" s="376" t="str">
        <f>IF(ISNUMBER('1_Combustibles fósiles'!K33),'1_Combustibles fósiles'!K33*'1_Combustibles fósiles'!H33,"")</f>
        <v/>
      </c>
      <c r="AL133" s="376" t="str">
        <f t="shared" si="7"/>
        <v/>
      </c>
      <c r="AN133" s="376" t="str">
        <f t="shared" si="8"/>
        <v/>
      </c>
      <c r="AO133" s="247" t="str">
        <f>IF(ISNUMBER('1_Combustibles fósiles'!L33),'1_Combustibles fósiles'!H33*'1_Combustibles fósiles'!L33,IF(ISNUMBER('1_Combustibles fósiles'!I33),AN133,""))</f>
        <v/>
      </c>
    </row>
    <row r="134" spans="3:42" x14ac:dyDescent="0.25">
      <c r="C134" s="243">
        <f>'1_Combustibles fósiles'!G34</f>
        <v>0</v>
      </c>
      <c r="D134" s="244" t="s">
        <v>264</v>
      </c>
      <c r="E134" s="245">
        <f t="shared" si="14"/>
        <v>2.0649999999999999</v>
      </c>
      <c r="F134" s="245">
        <f t="shared" si="14"/>
        <v>2.0649999999999999</v>
      </c>
      <c r="G134" s="245">
        <f t="shared" si="14"/>
        <v>2.0649999999999999</v>
      </c>
      <c r="H134" s="245">
        <f t="shared" si="14"/>
        <v>2.0649999999999999</v>
      </c>
      <c r="I134" s="245">
        <f t="shared" si="14"/>
        <v>2.0649999999999999</v>
      </c>
      <c r="J134" s="245">
        <f t="shared" si="14"/>
        <v>2.0649999999999999</v>
      </c>
      <c r="K134" s="245">
        <f t="shared" si="14"/>
        <v>2.0649999999999999</v>
      </c>
      <c r="L134" s="245">
        <f t="shared" si="14"/>
        <v>2.0649999999999999</v>
      </c>
      <c r="M134" s="245">
        <f t="shared" si="14"/>
        <v>2.0649999999999999</v>
      </c>
      <c r="N134" s="245">
        <f t="shared" si="14"/>
        <v>2.125</v>
      </c>
      <c r="Q134" s="246" t="e">
        <f t="shared" si="3"/>
        <v>#N/A</v>
      </c>
      <c r="R134" s="247" t="str">
        <f>IF(ISNUMBER('1_Combustibles fósiles'!I34),'1_Combustibles fósiles'!I34*'1_Combustibles fósiles'!H34,"")</f>
        <v/>
      </c>
      <c r="X134">
        <v>0.9</v>
      </c>
      <c r="Y134" s="265" t="s">
        <v>264</v>
      </c>
      <c r="Z134" s="265">
        <v>0.77500000000000002</v>
      </c>
      <c r="AA134" s="371">
        <f t="shared" ref="AA134:AA136" si="18">44.3*277.78/1000</f>
        <v>12.305653999999999</v>
      </c>
      <c r="AB134" s="265">
        <f>AB$133*$X134/$X$133</f>
        <v>1.2959999896319999E-5</v>
      </c>
      <c r="AC134" s="265">
        <f>AC$133*$X134/$X$133</f>
        <v>1.9439999844480001E-5</v>
      </c>
      <c r="AD134" s="372">
        <f t="shared" si="16"/>
        <v>1.2359798778721607E-4</v>
      </c>
      <c r="AE134" s="372">
        <f t="shared" si="17"/>
        <v>1.8539698168082411E-4</v>
      </c>
      <c r="AG134" s="376" t="e">
        <f t="shared" si="4"/>
        <v>#N/A</v>
      </c>
      <c r="AH134" s="376" t="str">
        <f>IF(ISNUMBER('1_Combustibles fósiles'!J34),'1_Combustibles fósiles'!J34*'1_Combustibles fósiles'!H34,"")</f>
        <v/>
      </c>
      <c r="AI134" s="376" t="str">
        <f t="shared" si="5"/>
        <v/>
      </c>
      <c r="AJ134" s="376" t="e">
        <f t="shared" si="6"/>
        <v>#N/A</v>
      </c>
      <c r="AK134" s="376" t="str">
        <f>IF(ISNUMBER('1_Combustibles fósiles'!K34),'1_Combustibles fósiles'!K34*'1_Combustibles fósiles'!H34,"")</f>
        <v/>
      </c>
      <c r="AL134" s="376" t="str">
        <f t="shared" si="7"/>
        <v/>
      </c>
      <c r="AN134" s="376" t="str">
        <f t="shared" si="8"/>
        <v/>
      </c>
      <c r="AO134" s="247" t="str">
        <f>IF(ISNUMBER('1_Combustibles fósiles'!L34),'1_Combustibles fósiles'!H34*'1_Combustibles fósiles'!L34,IF(ISNUMBER('1_Combustibles fósiles'!I34),AN134,""))</f>
        <v/>
      </c>
    </row>
    <row r="135" spans="3:42" x14ac:dyDescent="0.25">
      <c r="C135" s="243">
        <f>'1_Combustibles fósiles'!G35</f>
        <v>0</v>
      </c>
      <c r="D135" s="244" t="s">
        <v>199</v>
      </c>
      <c r="E135" s="245">
        <f t="shared" si="14"/>
        <v>0.34399999999999997</v>
      </c>
      <c r="F135" s="245">
        <f t="shared" si="14"/>
        <v>0.34399999999999997</v>
      </c>
      <c r="G135" s="245">
        <f t="shared" si="14"/>
        <v>0.34399999999999997</v>
      </c>
      <c r="H135" s="245">
        <f t="shared" si="14"/>
        <v>0.34399999999999997</v>
      </c>
      <c r="I135" s="245">
        <f t="shared" si="14"/>
        <v>0.34399999999999997</v>
      </c>
      <c r="J135" s="245">
        <f t="shared" si="14"/>
        <v>0.34399999999999997</v>
      </c>
      <c r="K135" s="245">
        <f t="shared" si="14"/>
        <v>0.34399999999999997</v>
      </c>
      <c r="L135" s="245">
        <f t="shared" si="14"/>
        <v>0.34399999999999997</v>
      </c>
      <c r="M135" s="245">
        <f t="shared" si="14"/>
        <v>0.34399999999999997</v>
      </c>
      <c r="N135" s="245">
        <f t="shared" si="14"/>
        <v>0.35399999999999998</v>
      </c>
      <c r="Q135" s="246" t="e">
        <f t="shared" si="3"/>
        <v>#N/A</v>
      </c>
      <c r="R135" s="247" t="str">
        <f>IF(ISNUMBER('1_Combustibles fósiles'!I35),'1_Combustibles fósiles'!I35*'1_Combustibles fósiles'!H35,"")</f>
        <v/>
      </c>
      <c r="X135">
        <v>0.15</v>
      </c>
      <c r="Y135" s="265" t="s">
        <v>199</v>
      </c>
      <c r="Z135" s="265">
        <v>0.77500000000000002</v>
      </c>
      <c r="AA135" s="371">
        <f t="shared" si="18"/>
        <v>12.305653999999999</v>
      </c>
      <c r="AB135" s="265">
        <f t="shared" ref="AB135:AC136" si="19">AB$133*$X135/$X$133</f>
        <v>2.1599999827199998E-6</v>
      </c>
      <c r="AC135" s="265">
        <f t="shared" si="19"/>
        <v>3.2399999740800002E-6</v>
      </c>
      <c r="AD135" s="372">
        <f t="shared" si="16"/>
        <v>2.0599664631202678E-5</v>
      </c>
      <c r="AE135" s="372">
        <f t="shared" si="17"/>
        <v>3.0899496946804016E-5</v>
      </c>
      <c r="AG135" s="376" t="e">
        <f t="shared" si="4"/>
        <v>#N/A</v>
      </c>
      <c r="AH135" s="376" t="str">
        <f>IF(ISNUMBER('1_Combustibles fósiles'!J35),'1_Combustibles fósiles'!J35*'1_Combustibles fósiles'!H35,"")</f>
        <v/>
      </c>
      <c r="AI135" s="376" t="str">
        <f t="shared" si="5"/>
        <v/>
      </c>
      <c r="AJ135" s="376" t="e">
        <f t="shared" si="6"/>
        <v>#N/A</v>
      </c>
      <c r="AK135" s="376" t="str">
        <f>IF(ISNUMBER('1_Combustibles fósiles'!K35),'1_Combustibles fósiles'!K35*'1_Combustibles fósiles'!H35,"")</f>
        <v/>
      </c>
      <c r="AL135" s="376" t="str">
        <f t="shared" si="7"/>
        <v/>
      </c>
      <c r="AN135" s="376" t="str">
        <f t="shared" si="8"/>
        <v/>
      </c>
      <c r="AO135" s="247" t="str">
        <f>IF(ISNUMBER('1_Combustibles fósiles'!L35),'1_Combustibles fósiles'!H35*'1_Combustibles fósiles'!L35,IF(ISNUMBER('1_Combustibles fósiles'!I35),AN135,""))</f>
        <v/>
      </c>
    </row>
    <row r="136" spans="3:42" x14ac:dyDescent="0.25">
      <c r="C136" s="243">
        <f>'1_Combustibles fósiles'!G36</f>
        <v>0</v>
      </c>
      <c r="D136" s="244" t="s">
        <v>204</v>
      </c>
      <c r="E136" s="245">
        <f t="shared" si="14"/>
        <v>0</v>
      </c>
      <c r="F136" s="245">
        <f t="shared" si="14"/>
        <v>0</v>
      </c>
      <c r="G136" s="245">
        <f t="shared" si="14"/>
        <v>0</v>
      </c>
      <c r="H136" s="245">
        <f t="shared" si="14"/>
        <v>0</v>
      </c>
      <c r="I136" s="245">
        <f t="shared" si="14"/>
        <v>0</v>
      </c>
      <c r="J136" s="245">
        <f t="shared" si="14"/>
        <v>0</v>
      </c>
      <c r="K136" s="245">
        <f t="shared" si="14"/>
        <v>0</v>
      </c>
      <c r="L136" s="245">
        <f t="shared" si="14"/>
        <v>0</v>
      </c>
      <c r="M136" s="245">
        <f t="shared" si="14"/>
        <v>0</v>
      </c>
      <c r="N136" s="245">
        <f t="shared" si="14"/>
        <v>0</v>
      </c>
      <c r="Q136" s="246" t="e">
        <f t="shared" si="3"/>
        <v>#N/A</v>
      </c>
      <c r="R136" s="247" t="str">
        <f>IF(ISNUMBER('1_Combustibles fósiles'!I36),'1_Combustibles fósiles'!I36*'1_Combustibles fósiles'!H36,"")</f>
        <v/>
      </c>
      <c r="X136">
        <v>0</v>
      </c>
      <c r="Y136" s="265" t="s">
        <v>204</v>
      </c>
      <c r="Z136" s="265">
        <v>0.77500000000000002</v>
      </c>
      <c r="AA136" s="371">
        <f t="shared" si="18"/>
        <v>12.305653999999999</v>
      </c>
      <c r="AB136" s="265">
        <f t="shared" si="19"/>
        <v>0</v>
      </c>
      <c r="AC136" s="265">
        <f t="shared" si="19"/>
        <v>0</v>
      </c>
      <c r="AD136" s="372">
        <f t="shared" si="16"/>
        <v>0</v>
      </c>
      <c r="AE136" s="372">
        <f t="shared" si="17"/>
        <v>0</v>
      </c>
      <c r="AG136" s="376" t="e">
        <f t="shared" si="4"/>
        <v>#N/A</v>
      </c>
      <c r="AH136" s="376" t="str">
        <f>IF(ISNUMBER('1_Combustibles fósiles'!J36),'1_Combustibles fósiles'!J36*'1_Combustibles fósiles'!H36,"")</f>
        <v/>
      </c>
      <c r="AI136" s="376" t="str">
        <f t="shared" si="5"/>
        <v/>
      </c>
      <c r="AJ136" s="376" t="e">
        <f t="shared" si="6"/>
        <v>#N/A</v>
      </c>
      <c r="AK136" s="376" t="str">
        <f>IF(ISNUMBER('1_Combustibles fósiles'!K36),'1_Combustibles fósiles'!K36*'1_Combustibles fósiles'!H36,"")</f>
        <v/>
      </c>
      <c r="AL136" s="376" t="str">
        <f t="shared" si="7"/>
        <v/>
      </c>
      <c r="AN136" s="376" t="str">
        <f t="shared" si="8"/>
        <v/>
      </c>
      <c r="AO136" s="247" t="str">
        <f>IF(ISNUMBER('1_Combustibles fósiles'!L36),'1_Combustibles fósiles'!H36*'1_Combustibles fósiles'!L36,IF(ISNUMBER('1_Combustibles fósiles'!I36),AN136,""))</f>
        <v/>
      </c>
    </row>
    <row r="137" spans="3:42" x14ac:dyDescent="0.25">
      <c r="C137" s="243">
        <f>'1_Combustibles fósiles'!G37</f>
        <v>0</v>
      </c>
      <c r="D137" s="244" t="s">
        <v>208</v>
      </c>
      <c r="E137" s="245">
        <f t="shared" si="14"/>
        <v>2.4670000000000001</v>
      </c>
      <c r="F137" s="245">
        <f t="shared" si="14"/>
        <v>2.4670000000000001</v>
      </c>
      <c r="G137" s="245">
        <f t="shared" si="14"/>
        <v>2.4670000000000001</v>
      </c>
      <c r="H137" s="245">
        <f t="shared" si="14"/>
        <v>2.4670000000000001</v>
      </c>
      <c r="I137" s="245">
        <f t="shared" si="14"/>
        <v>2.4670000000000001</v>
      </c>
      <c r="J137" s="245">
        <f t="shared" si="14"/>
        <v>2.4670000000000001</v>
      </c>
      <c r="K137" s="245">
        <f t="shared" si="14"/>
        <v>2.4670000000000001</v>
      </c>
      <c r="L137" s="245">
        <f t="shared" si="14"/>
        <v>2.4670000000000001</v>
      </c>
      <c r="M137" s="245">
        <f t="shared" si="14"/>
        <v>2.4670000000000001</v>
      </c>
      <c r="N137" s="245">
        <f t="shared" si="14"/>
        <v>2.456</v>
      </c>
      <c r="Q137" s="246" t="e">
        <f t="shared" si="3"/>
        <v>#N/A</v>
      </c>
      <c r="R137" s="247" t="str">
        <f>IF(ISNUMBER('1_Combustibles fósiles'!I37),'1_Combustibles fósiles'!I37*'1_Combustibles fósiles'!H37,"")</f>
        <v/>
      </c>
      <c r="X137">
        <v>0.93</v>
      </c>
      <c r="Y137" s="265" t="s">
        <v>208</v>
      </c>
      <c r="Z137" s="265">
        <v>0.84499999999999997</v>
      </c>
      <c r="AA137" s="371">
        <f>43*277.78/1000</f>
        <v>11.94454</v>
      </c>
      <c r="AB137" s="265">
        <f>AB132</f>
        <v>1.4039999887679998E-5</v>
      </c>
      <c r="AC137" s="265">
        <f>AC132</f>
        <v>1.4039999887679998E-5</v>
      </c>
      <c r="AD137" s="372">
        <f t="shared" si="16"/>
        <v>1.417076325183389E-4</v>
      </c>
      <c r="AE137" s="372">
        <f t="shared" si="17"/>
        <v>1.417076325183389E-4</v>
      </c>
      <c r="AG137" s="376" t="e">
        <f t="shared" si="4"/>
        <v>#N/A</v>
      </c>
      <c r="AH137" s="376" t="str">
        <f>IF(ISNUMBER('1_Combustibles fósiles'!J37),'1_Combustibles fósiles'!J37*'1_Combustibles fósiles'!H37,"")</f>
        <v/>
      </c>
      <c r="AI137" s="376" t="str">
        <f t="shared" si="5"/>
        <v/>
      </c>
      <c r="AJ137" s="376" t="e">
        <f t="shared" si="6"/>
        <v>#N/A</v>
      </c>
      <c r="AK137" s="376" t="str">
        <f>IF(ISNUMBER('1_Combustibles fósiles'!K37),'1_Combustibles fósiles'!K37*'1_Combustibles fósiles'!H37,"")</f>
        <v/>
      </c>
      <c r="AL137" s="376" t="str">
        <f t="shared" si="7"/>
        <v/>
      </c>
      <c r="AN137" s="376" t="str">
        <f t="shared" si="8"/>
        <v/>
      </c>
      <c r="AO137" s="247" t="str">
        <f>IF(ISNUMBER('1_Combustibles fósiles'!L37),'1_Combustibles fósiles'!H37*'1_Combustibles fósiles'!L37,IF(ISNUMBER('1_Combustibles fósiles'!I37),AN137,""))</f>
        <v/>
      </c>
    </row>
    <row r="138" spans="3:42" x14ac:dyDescent="0.25">
      <c r="C138" s="243">
        <f>'1_Combustibles fósiles'!G38</f>
        <v>0</v>
      </c>
      <c r="D138" s="244" t="s">
        <v>212</v>
      </c>
      <c r="E138" s="245">
        <f t="shared" si="14"/>
        <v>2.387</v>
      </c>
      <c r="F138" s="245">
        <f t="shared" si="14"/>
        <v>2.387</v>
      </c>
      <c r="G138" s="245">
        <f t="shared" si="14"/>
        <v>2.387</v>
      </c>
      <c r="H138" s="245">
        <f t="shared" si="14"/>
        <v>2.387</v>
      </c>
      <c r="I138" s="245">
        <f t="shared" si="14"/>
        <v>2.387</v>
      </c>
      <c r="J138" s="245">
        <f t="shared" si="14"/>
        <v>2.387</v>
      </c>
      <c r="K138" s="245">
        <f t="shared" si="14"/>
        <v>2.387</v>
      </c>
      <c r="L138" s="245">
        <f t="shared" si="14"/>
        <v>2.387</v>
      </c>
      <c r="M138" s="245">
        <f t="shared" si="14"/>
        <v>2.387</v>
      </c>
      <c r="N138" s="245">
        <f t="shared" si="14"/>
        <v>2.3769999999999998</v>
      </c>
      <c r="Q138" s="246" t="e">
        <f t="shared" si="3"/>
        <v>#N/A</v>
      </c>
      <c r="R138" s="247" t="str">
        <f>IF(ISNUMBER('1_Combustibles fósiles'!I38),'1_Combustibles fósiles'!I38*'1_Combustibles fósiles'!H38,"")</f>
        <v/>
      </c>
      <c r="X138">
        <v>0.9</v>
      </c>
      <c r="Y138" s="265" t="s">
        <v>212</v>
      </c>
      <c r="Z138" s="265">
        <v>0.84499999999999997</v>
      </c>
      <c r="AA138" s="371">
        <f t="shared" ref="AA138:AA141" si="20">43*277.78/1000</f>
        <v>11.94454</v>
      </c>
      <c r="AB138" s="265">
        <f>AB$137*$X138/$X$137</f>
        <v>1.3587096665496773E-5</v>
      </c>
      <c r="AC138" s="265">
        <f>AC$137*$X138/$X$137</f>
        <v>1.3587096665496773E-5</v>
      </c>
      <c r="AD138" s="372">
        <f t="shared" si="16"/>
        <v>1.3713641856613444E-4</v>
      </c>
      <c r="AE138" s="372">
        <f t="shared" si="17"/>
        <v>1.3713641856613444E-4</v>
      </c>
      <c r="AG138" s="376" t="e">
        <f t="shared" si="4"/>
        <v>#N/A</v>
      </c>
      <c r="AH138" s="376" t="str">
        <f>IF(ISNUMBER('1_Combustibles fósiles'!J38),'1_Combustibles fósiles'!J38*'1_Combustibles fósiles'!H38,"")</f>
        <v/>
      </c>
      <c r="AI138" s="376" t="str">
        <f t="shared" si="5"/>
        <v/>
      </c>
      <c r="AJ138" s="376" t="e">
        <f t="shared" si="6"/>
        <v>#N/A</v>
      </c>
      <c r="AK138" s="376" t="str">
        <f>IF(ISNUMBER('1_Combustibles fósiles'!K38),'1_Combustibles fósiles'!K38*'1_Combustibles fósiles'!H38,"")</f>
        <v/>
      </c>
      <c r="AL138" s="376" t="str">
        <f t="shared" si="7"/>
        <v/>
      </c>
      <c r="AN138" s="376" t="str">
        <f t="shared" si="8"/>
        <v/>
      </c>
      <c r="AO138" s="247" t="str">
        <f>IF(ISNUMBER('1_Combustibles fósiles'!L38),'1_Combustibles fósiles'!H38*'1_Combustibles fósiles'!L38,IF(ISNUMBER('1_Combustibles fósiles'!I38),AN138,""))</f>
        <v/>
      </c>
    </row>
    <row r="139" spans="3:42" x14ac:dyDescent="0.25">
      <c r="C139" s="243">
        <f>'1_Combustibles fósiles'!G39</f>
        <v>0</v>
      </c>
      <c r="D139" s="244" t="s">
        <v>215</v>
      </c>
      <c r="E139" s="245">
        <f t="shared" si="14"/>
        <v>2.1219999999999999</v>
      </c>
      <c r="F139" s="245">
        <f t="shared" si="14"/>
        <v>2.1219999999999999</v>
      </c>
      <c r="G139" s="245">
        <f t="shared" si="14"/>
        <v>2.1219999999999999</v>
      </c>
      <c r="H139" s="245">
        <f t="shared" si="14"/>
        <v>2.1219999999999999</v>
      </c>
      <c r="I139" s="245">
        <f t="shared" si="14"/>
        <v>2.1219999999999999</v>
      </c>
      <c r="J139" s="245">
        <f t="shared" si="14"/>
        <v>2.1219999999999999</v>
      </c>
      <c r="K139" s="245">
        <f t="shared" si="14"/>
        <v>2.1219999999999999</v>
      </c>
      <c r="L139" s="245">
        <f t="shared" si="14"/>
        <v>2.1219999999999999</v>
      </c>
      <c r="M139" s="245">
        <f t="shared" si="14"/>
        <v>2.1219999999999999</v>
      </c>
      <c r="N139" s="245">
        <f t="shared" si="14"/>
        <v>2.113</v>
      </c>
      <c r="Q139" s="246" t="e">
        <f t="shared" si="3"/>
        <v>#N/A</v>
      </c>
      <c r="R139" s="247" t="str">
        <f>IF(ISNUMBER('1_Combustibles fósiles'!I39),'1_Combustibles fósiles'!I39*'1_Combustibles fósiles'!H39,"")</f>
        <v/>
      </c>
      <c r="X139">
        <v>0.8</v>
      </c>
      <c r="Y139" s="265" t="s">
        <v>215</v>
      </c>
      <c r="Z139" s="265">
        <v>0.84499999999999997</v>
      </c>
      <c r="AA139" s="371">
        <f t="shared" si="20"/>
        <v>11.94454</v>
      </c>
      <c r="AB139" s="265">
        <f t="shared" ref="AB139:AC141" si="21">AB$137*$X139/$X$137</f>
        <v>1.2077419258219354E-5</v>
      </c>
      <c r="AC139" s="265">
        <f t="shared" si="21"/>
        <v>1.2077419258219354E-5</v>
      </c>
      <c r="AD139" s="372">
        <f t="shared" si="16"/>
        <v>1.2189903872545282E-4</v>
      </c>
      <c r="AE139" s="372">
        <f t="shared" si="17"/>
        <v>1.2189903872545282E-4</v>
      </c>
      <c r="AG139" s="376" t="e">
        <f t="shared" si="4"/>
        <v>#N/A</v>
      </c>
      <c r="AH139" s="376" t="str">
        <f>IF(ISNUMBER('1_Combustibles fósiles'!J39),'1_Combustibles fósiles'!J39*'1_Combustibles fósiles'!H39,"")</f>
        <v/>
      </c>
      <c r="AI139" s="376" t="str">
        <f t="shared" si="5"/>
        <v/>
      </c>
      <c r="AJ139" s="376" t="e">
        <f t="shared" si="6"/>
        <v>#N/A</v>
      </c>
      <c r="AK139" s="376" t="str">
        <f>IF(ISNUMBER('1_Combustibles fósiles'!K39),'1_Combustibles fósiles'!K39*'1_Combustibles fósiles'!H39,"")</f>
        <v/>
      </c>
      <c r="AL139" s="376" t="str">
        <f t="shared" si="7"/>
        <v/>
      </c>
      <c r="AN139" s="376" t="str">
        <f t="shared" si="8"/>
        <v/>
      </c>
      <c r="AO139" s="247" t="str">
        <f>IF(ISNUMBER('1_Combustibles fósiles'!L39),'1_Combustibles fósiles'!H39*'1_Combustibles fósiles'!L39,IF(ISNUMBER('1_Combustibles fósiles'!I39),AN139,""))</f>
        <v/>
      </c>
    </row>
    <row r="140" spans="3:42" x14ac:dyDescent="0.25">
      <c r="C140" s="250"/>
      <c r="D140" s="244" t="s">
        <v>219</v>
      </c>
      <c r="E140" s="245">
        <f t="shared" si="14"/>
        <v>1.857</v>
      </c>
      <c r="F140" s="245">
        <f t="shared" si="14"/>
        <v>1.857</v>
      </c>
      <c r="G140" s="245">
        <f t="shared" si="14"/>
        <v>1.857</v>
      </c>
      <c r="H140" s="245">
        <f t="shared" si="14"/>
        <v>1.857</v>
      </c>
      <c r="I140" s="245">
        <f t="shared" si="14"/>
        <v>1.857</v>
      </c>
      <c r="J140" s="245">
        <f t="shared" si="14"/>
        <v>1.857</v>
      </c>
      <c r="K140" s="245">
        <f t="shared" si="14"/>
        <v>1.857</v>
      </c>
      <c r="L140" s="245">
        <f t="shared" si="14"/>
        <v>1.857</v>
      </c>
      <c r="M140" s="245">
        <f t="shared" si="14"/>
        <v>1.857</v>
      </c>
      <c r="N140" s="245">
        <f t="shared" si="14"/>
        <v>1.849</v>
      </c>
      <c r="Q140" s="251"/>
      <c r="R140" s="252"/>
      <c r="X140">
        <v>0.7</v>
      </c>
      <c r="Y140" s="265" t="s">
        <v>219</v>
      </c>
      <c r="Z140" s="265">
        <v>0.84499999999999997</v>
      </c>
      <c r="AA140" s="371">
        <f t="shared" si="20"/>
        <v>11.94454</v>
      </c>
      <c r="AB140" s="265">
        <f t="shared" si="21"/>
        <v>1.0567741850941932E-5</v>
      </c>
      <c r="AC140" s="265">
        <f t="shared" si="21"/>
        <v>1.0567741850941932E-5</v>
      </c>
      <c r="AD140" s="372">
        <f t="shared" si="16"/>
        <v>1.0666165888477121E-4</v>
      </c>
      <c r="AE140" s="372">
        <f t="shared" si="17"/>
        <v>1.0666165888477121E-4</v>
      </c>
    </row>
    <row r="141" spans="3:42" x14ac:dyDescent="0.25">
      <c r="C141" s="250"/>
      <c r="D141" s="244" t="s">
        <v>223</v>
      </c>
      <c r="E141" s="245">
        <f t="shared" si="14"/>
        <v>0</v>
      </c>
      <c r="F141" s="245">
        <f t="shared" si="14"/>
        <v>0</v>
      </c>
      <c r="G141" s="245">
        <f t="shared" si="14"/>
        <v>0</v>
      </c>
      <c r="H141" s="245">
        <f t="shared" si="14"/>
        <v>0</v>
      </c>
      <c r="I141" s="245">
        <f t="shared" si="14"/>
        <v>0</v>
      </c>
      <c r="J141" s="245">
        <f t="shared" si="14"/>
        <v>0</v>
      </c>
      <c r="K141" s="245">
        <f t="shared" si="14"/>
        <v>0</v>
      </c>
      <c r="L141" s="245">
        <f t="shared" si="14"/>
        <v>0</v>
      </c>
      <c r="M141" s="245">
        <f t="shared" si="14"/>
        <v>0</v>
      </c>
      <c r="N141" s="245">
        <f t="shared" si="14"/>
        <v>0</v>
      </c>
      <c r="Q141" s="251"/>
      <c r="R141" s="252"/>
      <c r="X141">
        <v>0</v>
      </c>
      <c r="Y141" s="265" t="s">
        <v>223</v>
      </c>
      <c r="Z141" s="265">
        <v>0.84499999999999997</v>
      </c>
      <c r="AA141" s="371">
        <f t="shared" si="20"/>
        <v>11.94454</v>
      </c>
      <c r="AB141" s="265">
        <f t="shared" si="21"/>
        <v>0</v>
      </c>
      <c r="AC141" s="265">
        <f t="shared" si="21"/>
        <v>0</v>
      </c>
      <c r="AD141" s="372">
        <f t="shared" si="16"/>
        <v>0</v>
      </c>
      <c r="AE141" s="372">
        <f t="shared" si="17"/>
        <v>0</v>
      </c>
    </row>
    <row r="142" spans="3:42" x14ac:dyDescent="0.25">
      <c r="C142" s="250"/>
      <c r="D142" s="244" t="s">
        <v>265</v>
      </c>
      <c r="E142" s="245" t="str">
        <f t="shared" si="14"/>
        <v>-</v>
      </c>
      <c r="F142" s="245" t="str">
        <f t="shared" si="14"/>
        <v>-</v>
      </c>
      <c r="G142" s="245" t="str">
        <f t="shared" si="14"/>
        <v>-</v>
      </c>
      <c r="H142" s="245" t="str">
        <f t="shared" si="14"/>
        <v>-</v>
      </c>
      <c r="I142" s="245" t="str">
        <f t="shared" si="14"/>
        <v>-</v>
      </c>
      <c r="J142" s="245" t="str">
        <f t="shared" si="14"/>
        <v>-</v>
      </c>
      <c r="K142" s="245" t="str">
        <f t="shared" si="14"/>
        <v>-</v>
      </c>
      <c r="L142" s="245" t="str">
        <f t="shared" si="14"/>
        <v>-</v>
      </c>
      <c r="M142" s="245" t="str">
        <f t="shared" si="14"/>
        <v>-</v>
      </c>
      <c r="N142" s="245" t="str">
        <f t="shared" si="14"/>
        <v>-</v>
      </c>
      <c r="Q142" s="251"/>
      <c r="R142" s="252"/>
      <c r="Y142" s="265" t="s">
        <v>265</v>
      </c>
      <c r="Z142" s="265" t="s">
        <v>280</v>
      </c>
      <c r="AA142" s="265" t="s">
        <v>280</v>
      </c>
      <c r="AB142" s="265" t="s">
        <v>280</v>
      </c>
      <c r="AC142" s="265" t="s">
        <v>280</v>
      </c>
      <c r="AD142" s="265" t="s">
        <v>280</v>
      </c>
      <c r="AE142" s="265" t="s">
        <v>280</v>
      </c>
    </row>
    <row r="143" spans="3:42" x14ac:dyDescent="0.25">
      <c r="C143" s="250"/>
      <c r="D143" s="209"/>
      <c r="E143" s="253"/>
      <c r="F143" s="253"/>
      <c r="G143" s="253"/>
      <c r="H143" s="253"/>
      <c r="I143" s="253"/>
      <c r="J143" s="253"/>
      <c r="K143" s="253"/>
      <c r="L143" s="253"/>
      <c r="M143" s="253"/>
      <c r="N143" s="253"/>
      <c r="Q143" s="251"/>
      <c r="R143" s="252"/>
      <c r="AM143" s="380"/>
      <c r="AN143" s="313"/>
    </row>
    <row r="144" spans="3:42" x14ac:dyDescent="0.25">
      <c r="C144" s="216"/>
      <c r="D144" s="216"/>
      <c r="E144" s="221" t="s">
        <v>250</v>
      </c>
      <c r="F144" s="234"/>
      <c r="G144" s="234"/>
      <c r="AM144" s="380"/>
      <c r="AN144" s="313"/>
      <c r="AP144" s="543" t="s">
        <v>978</v>
      </c>
    </row>
    <row r="145" spans="2:44" x14ac:dyDescent="0.25">
      <c r="C145" s="216"/>
      <c r="D145" s="216"/>
      <c r="E145" s="235">
        <v>2011</v>
      </c>
      <c r="F145" s="236">
        <v>2012</v>
      </c>
      <c r="G145" s="236">
        <v>2013</v>
      </c>
      <c r="H145" s="236">
        <v>2014</v>
      </c>
      <c r="I145" s="236">
        <v>2015</v>
      </c>
      <c r="J145" s="236">
        <v>2016</v>
      </c>
      <c r="K145" s="236">
        <v>2017</v>
      </c>
      <c r="L145" s="236">
        <v>2018</v>
      </c>
      <c r="M145" s="236">
        <v>2019</v>
      </c>
      <c r="N145" s="235">
        <v>2020</v>
      </c>
      <c r="AP145" s="544"/>
    </row>
    <row r="146" spans="2:44" x14ac:dyDescent="0.25">
      <c r="B146" t="s">
        <v>321</v>
      </c>
      <c r="C146" s="216"/>
      <c r="D146" s="216">
        <v>1</v>
      </c>
      <c r="E146" s="216">
        <v>2</v>
      </c>
      <c r="F146">
        <v>3</v>
      </c>
      <c r="G146" s="216">
        <v>4</v>
      </c>
      <c r="H146" s="216">
        <v>5</v>
      </c>
      <c r="I146" s="216">
        <v>6</v>
      </c>
      <c r="J146" s="216">
        <v>7</v>
      </c>
      <c r="K146" s="216">
        <v>8</v>
      </c>
      <c r="L146" s="216">
        <v>9</v>
      </c>
      <c r="M146" s="216">
        <v>10</v>
      </c>
      <c r="N146" s="216">
        <v>11</v>
      </c>
      <c r="O146" s="216"/>
      <c r="Q146" s="221" t="s">
        <v>305</v>
      </c>
      <c r="R146" s="221"/>
      <c r="S146" s="221"/>
      <c r="T146" s="221"/>
      <c r="AP146" s="265">
        <v>1.0249999999999999</v>
      </c>
    </row>
    <row r="147" spans="2:44" ht="48" x14ac:dyDescent="0.25">
      <c r="C147" s="237" t="s">
        <v>322</v>
      </c>
      <c r="D147" s="254" t="s">
        <v>323</v>
      </c>
      <c r="E147" s="254" t="s">
        <v>308</v>
      </c>
      <c r="F147" s="254" t="s">
        <v>309</v>
      </c>
      <c r="G147" s="254" t="s">
        <v>310</v>
      </c>
      <c r="H147" s="254" t="s">
        <v>311</v>
      </c>
      <c r="I147" s="254" t="s">
        <v>312</v>
      </c>
      <c r="J147" s="254" t="s">
        <v>313</v>
      </c>
      <c r="K147" s="254" t="s">
        <v>314</v>
      </c>
      <c r="L147" s="254" t="s">
        <v>315</v>
      </c>
      <c r="M147" s="254" t="s">
        <v>316</v>
      </c>
      <c r="N147" s="255" t="s">
        <v>317</v>
      </c>
      <c r="Q147" s="255" t="s">
        <v>319</v>
      </c>
      <c r="R147" s="241" t="s">
        <v>324</v>
      </c>
      <c r="S147" s="241" t="s">
        <v>325</v>
      </c>
      <c r="Y147" s="369" t="s">
        <v>964</v>
      </c>
      <c r="Z147" s="370" t="s">
        <v>958</v>
      </c>
      <c r="AA147" s="370" t="s">
        <v>959</v>
      </c>
      <c r="AB147" s="370" t="s">
        <v>960</v>
      </c>
      <c r="AC147" s="370" t="s">
        <v>961</v>
      </c>
      <c r="AD147" s="370" t="s">
        <v>962</v>
      </c>
      <c r="AE147" s="370" t="s">
        <v>963</v>
      </c>
      <c r="AG147" s="237" t="s">
        <v>971</v>
      </c>
      <c r="AH147" s="254" t="s">
        <v>319</v>
      </c>
      <c r="AI147" s="254" t="s">
        <v>972</v>
      </c>
      <c r="AJ147" s="237" t="s">
        <v>970</v>
      </c>
      <c r="AK147" s="254" t="s">
        <v>319</v>
      </c>
      <c r="AL147" s="254" t="s">
        <v>973</v>
      </c>
      <c r="AN147" s="254" t="s">
        <v>977</v>
      </c>
      <c r="AO147" s="241" t="s">
        <v>324</v>
      </c>
      <c r="AP147" s="241" t="s">
        <v>325</v>
      </c>
      <c r="AR147" s="379" t="s">
        <v>326</v>
      </c>
    </row>
    <row r="148" spans="2:44" x14ac:dyDescent="0.25">
      <c r="C148" s="256">
        <f>'1_Combustibles fósiles'!H48</f>
        <v>0</v>
      </c>
      <c r="D148" s="257" t="s">
        <v>86</v>
      </c>
      <c r="E148" s="245">
        <f t="shared" ref="E148:N157" si="22">INDEX($D$84:$M$112,MATCH($D148,$C$84:$C$112,0),MATCH(E$145,$D$83:$M$83,0))</f>
        <v>2.2050000000000001</v>
      </c>
      <c r="F148" s="245">
        <f t="shared" si="22"/>
        <v>2.2010000000000001</v>
      </c>
      <c r="G148" s="245">
        <f t="shared" si="22"/>
        <v>2.2050000000000001</v>
      </c>
      <c r="H148" s="245">
        <f t="shared" si="22"/>
        <v>2.2050000000000001</v>
      </c>
      <c r="I148" s="245">
        <f t="shared" si="22"/>
        <v>2.2050000000000001</v>
      </c>
      <c r="J148" s="245">
        <f t="shared" si="22"/>
        <v>2.1960000000000002</v>
      </c>
      <c r="K148" s="245">
        <f t="shared" si="22"/>
        <v>2.1800000000000002</v>
      </c>
      <c r="L148" s="245">
        <f t="shared" si="22"/>
        <v>2.157</v>
      </c>
      <c r="M148" s="245" t="str">
        <f t="shared" si="22"/>
        <v>-</v>
      </c>
      <c r="N148" s="245" t="str">
        <f t="shared" si="22"/>
        <v>-</v>
      </c>
      <c r="Q148" s="258" t="e">
        <f t="shared" ref="Q148:Q167" si="23">VLOOKUP(C148,$D$148:$N$166,$F$2-2009,0)</f>
        <v>#N/A</v>
      </c>
      <c r="R148" s="247" t="str">
        <f>IF(ISNUMBER('1_Combustibles fósiles'!J48),'1_Combustibles fósiles'!J48*'1_Combustibles fósiles'!I48,"")</f>
        <v/>
      </c>
      <c r="S148" s="259">
        <f>IF(ISNUMBER('1_Combustibles fósiles'!R48),('1_Combustibles fósiles'!R48*'1_Combustibles fósiles'!S48)/1000,0)</f>
        <v>0</v>
      </c>
      <c r="Y148" s="265" t="s">
        <v>86</v>
      </c>
      <c r="Z148" s="265">
        <v>0.77500000000000002</v>
      </c>
      <c r="AA148" s="371">
        <f>44.3*277.78/1000</f>
        <v>12.305653999999999</v>
      </c>
      <c r="AB148" s="372">
        <f>3.8/277777.78</f>
        <v>1.3679999890559999E-5</v>
      </c>
      <c r="AC148" s="372">
        <f>5.7/277777.78</f>
        <v>2.051999983584E-5</v>
      </c>
      <c r="AD148" s="372">
        <f>Z148*AA148*AB148</f>
        <v>1.3046454266428363E-4</v>
      </c>
      <c r="AE148" s="372">
        <f>Z148*AA148*AC148</f>
        <v>1.9569681399642544E-4</v>
      </c>
      <c r="AG148" s="376" t="e">
        <f>VLOOKUP(C148,$Y$148:$AE$166,6,0)</f>
        <v>#N/A</v>
      </c>
      <c r="AH148" s="376" t="str">
        <f>IF(ISNUMBER('1_Combustibles fósiles'!K48),'1_Combustibles fósiles'!K48*'1_Combustibles fósiles'!I48,"")</f>
        <v/>
      </c>
      <c r="AI148" s="376" t="str">
        <f>IF(ISNUMBER(AH148),AH148*$D$657,"")</f>
        <v/>
      </c>
      <c r="AJ148" s="376" t="e">
        <f>VLOOKUP(C148,$Y$148:$AE$166,7,0)</f>
        <v>#N/A</v>
      </c>
      <c r="AK148" s="376" t="str">
        <f>IF(ISNUMBER('1_Combustibles fósiles'!L48),'1_Combustibles fósiles'!L48*'1_Combustibles fósiles'!I48,"")</f>
        <v/>
      </c>
      <c r="AL148" s="376" t="str">
        <f>IF(ISNUMBER(AK148),AK148*$D$658,"")</f>
        <v/>
      </c>
      <c r="AN148" s="376" t="str">
        <f>IF(ISNUMBER(Q148),R148+AI148+AL148,"")</f>
        <v/>
      </c>
      <c r="AO148" s="247" t="str">
        <f>IF(ISNUMBER('1_Combustibles fósiles'!M48),'1_Combustibles fósiles'!M48*'1_Combustibles fósiles'!I48,IF(ISNUMBER('1_Combustibles fósiles'!J48),AN148,""))</f>
        <v/>
      </c>
      <c r="AP148" s="259">
        <f>IF(ISNUMBER('1_Combustibles fósiles'!R48),('1_Combustibles fósiles'!R48*'1_Combustibles fósiles'!S48*$AP$146)/1000,0)</f>
        <v>0</v>
      </c>
      <c r="AR148" s="248">
        <f>SUM(AO168+AP168)</f>
        <v>0</v>
      </c>
    </row>
    <row r="149" spans="2:44" x14ac:dyDescent="0.25">
      <c r="C149" s="256">
        <f>'1_Combustibles fósiles'!H49</f>
        <v>0</v>
      </c>
      <c r="D149" s="257" t="s">
        <v>196</v>
      </c>
      <c r="E149" s="245">
        <f t="shared" si="22"/>
        <v>2.4929999999999999</v>
      </c>
      <c r="F149" s="245">
        <f t="shared" si="22"/>
        <v>2.4670000000000001</v>
      </c>
      <c r="G149" s="245">
        <f t="shared" si="22"/>
        <v>2.544</v>
      </c>
      <c r="H149" s="245">
        <f t="shared" si="22"/>
        <v>2.544</v>
      </c>
      <c r="I149" s="245">
        <f t="shared" si="22"/>
        <v>2.544</v>
      </c>
      <c r="J149" s="245">
        <f t="shared" si="22"/>
        <v>2.5390000000000001</v>
      </c>
      <c r="K149" s="245">
        <f t="shared" si="22"/>
        <v>2.52</v>
      </c>
      <c r="L149" s="245">
        <f t="shared" si="22"/>
        <v>2.4929999999999999</v>
      </c>
      <c r="M149" s="245" t="str">
        <f t="shared" si="22"/>
        <v>-</v>
      </c>
      <c r="N149" s="245" t="str">
        <f t="shared" si="22"/>
        <v>-</v>
      </c>
      <c r="Q149" s="258" t="e">
        <f t="shared" si="23"/>
        <v>#N/A</v>
      </c>
      <c r="R149" s="247" t="str">
        <f>IF(ISNUMBER('1_Combustibles fósiles'!J49),'1_Combustibles fósiles'!J49*'1_Combustibles fósiles'!I49,"")</f>
        <v/>
      </c>
      <c r="S149" s="259">
        <f>IF(ISNUMBER('1_Combustibles fósiles'!R49),('1_Combustibles fósiles'!R49*'1_Combustibles fósiles'!S49)/1000,0)</f>
        <v>0</v>
      </c>
      <c r="Y149" s="265" t="s">
        <v>196</v>
      </c>
      <c r="Z149" s="265">
        <v>0.84499999999999997</v>
      </c>
      <c r="AA149" s="371">
        <f>43*277.78/1000</f>
        <v>11.94454</v>
      </c>
      <c r="AB149" s="372">
        <f>3.9/277777.78</f>
        <v>1.4039999887679998E-5</v>
      </c>
      <c r="AC149" s="372">
        <f>3.9/277777.78</f>
        <v>1.4039999887679998E-5</v>
      </c>
      <c r="AD149" s="372">
        <f t="shared" ref="AD149:AD159" si="24">Z149*AA149*AB149</f>
        <v>1.417076325183389E-4</v>
      </c>
      <c r="AE149" s="372">
        <f t="shared" ref="AE149:AE159" si="25">Z149*AA149*AC149</f>
        <v>1.417076325183389E-4</v>
      </c>
      <c r="AG149" s="376" t="e">
        <f t="shared" ref="AG149:AG167" si="26">VLOOKUP(C149,$Y$148:$AE$166,6,0)</f>
        <v>#N/A</v>
      </c>
      <c r="AH149" s="376" t="str">
        <f>IF(ISNUMBER('1_Combustibles fósiles'!K49),'1_Combustibles fósiles'!K49*'1_Combustibles fósiles'!I49,"")</f>
        <v/>
      </c>
      <c r="AI149" s="376" t="str">
        <f t="shared" ref="AI149:AI167" si="27">IF(ISNUMBER(AH149),AH149*$D$657,"")</f>
        <v/>
      </c>
      <c r="AJ149" s="376" t="e">
        <f t="shared" ref="AJ149:AJ167" si="28">VLOOKUP(C149,$Y$148:$AE$166,7,0)</f>
        <v>#N/A</v>
      </c>
      <c r="AK149" s="376" t="str">
        <f>IF(ISNUMBER('1_Combustibles fósiles'!L49),'1_Combustibles fósiles'!L49*'1_Combustibles fósiles'!I49,"")</f>
        <v/>
      </c>
      <c r="AL149" s="376" t="str">
        <f t="shared" ref="AL149:AL167" si="29">IF(ISNUMBER(AK149),AK149*$D$658,"")</f>
        <v/>
      </c>
      <c r="AN149" s="376" t="str">
        <f t="shared" ref="AN149:AN166" si="30">IF(ISNUMBER(Q149),R149+AI149+AL149,"")</f>
        <v/>
      </c>
      <c r="AO149" s="247" t="str">
        <f>IF(ISNUMBER('1_Combustibles fósiles'!M49),'1_Combustibles fósiles'!M49*'1_Combustibles fósiles'!I49,IF(ISNUMBER('1_Combustibles fósiles'!J49),AN149,""))</f>
        <v/>
      </c>
      <c r="AP149" s="259">
        <f>IF(ISNUMBER('1_Combustibles fósiles'!R49),('1_Combustibles fósiles'!R49*'1_Combustibles fósiles'!S49*$AP$146)/1000,0)</f>
        <v>0</v>
      </c>
    </row>
    <row r="150" spans="2:44" x14ac:dyDescent="0.25">
      <c r="C150" s="256">
        <f>'1_Combustibles fósiles'!H50</f>
        <v>0</v>
      </c>
      <c r="D150" s="257" t="s">
        <v>195</v>
      </c>
      <c r="E150" s="245">
        <f t="shared" si="22"/>
        <v>2.7080000000000002</v>
      </c>
      <c r="F150" s="245">
        <f t="shared" si="22"/>
        <v>2.7080000000000002</v>
      </c>
      <c r="G150" s="245">
        <f t="shared" si="22"/>
        <v>2.7080000000000002</v>
      </c>
      <c r="H150" s="245">
        <f t="shared" si="22"/>
        <v>2.7080000000000002</v>
      </c>
      <c r="I150" s="245">
        <f t="shared" si="22"/>
        <v>2.7080000000000002</v>
      </c>
      <c r="J150" s="245">
        <f t="shared" si="22"/>
        <v>2.7080000000000002</v>
      </c>
      <c r="K150" s="245">
        <f t="shared" si="22"/>
        <v>2.7080000000000002</v>
      </c>
      <c r="L150" s="245">
        <f t="shared" si="22"/>
        <v>2.7080000000000002</v>
      </c>
      <c r="M150" s="245">
        <f t="shared" si="22"/>
        <v>2.7080000000000002</v>
      </c>
      <c r="N150" s="245">
        <f t="shared" si="22"/>
        <v>2.6859999999999999</v>
      </c>
      <c r="Q150" s="258" t="e">
        <f t="shared" si="23"/>
        <v>#N/A</v>
      </c>
      <c r="R150" s="247" t="str">
        <f>IF(ISNUMBER('1_Combustibles fósiles'!J50),'1_Combustibles fósiles'!J50*'1_Combustibles fósiles'!I50,"")</f>
        <v/>
      </c>
      <c r="S150" s="259">
        <f>IF(ISNUMBER('1_Combustibles fósiles'!R50),('1_Combustibles fósiles'!R50*'1_Combustibles fósiles'!S50)/1000,0)</f>
        <v>0</v>
      </c>
      <c r="Y150" s="265" t="s">
        <v>195</v>
      </c>
      <c r="Z150" s="265">
        <v>0.88</v>
      </c>
      <c r="AA150" s="371">
        <f>43*277.78/1000</f>
        <v>11.94454</v>
      </c>
      <c r="AB150" s="372">
        <f>3.9/277777.78</f>
        <v>1.4039999887679998E-5</v>
      </c>
      <c r="AC150" s="372">
        <f>3.9/277777.78</f>
        <v>1.4039999887679998E-5</v>
      </c>
      <c r="AD150" s="372">
        <f t="shared" si="24"/>
        <v>1.4757717942738254E-4</v>
      </c>
      <c r="AE150" s="372">
        <f t="shared" si="25"/>
        <v>1.4757717942738254E-4</v>
      </c>
      <c r="AG150" s="376" t="e">
        <f t="shared" si="26"/>
        <v>#N/A</v>
      </c>
      <c r="AH150" s="376" t="str">
        <f>IF(ISNUMBER('1_Combustibles fósiles'!K50),'1_Combustibles fósiles'!K50*'1_Combustibles fósiles'!I50,"")</f>
        <v/>
      </c>
      <c r="AI150" s="376" t="str">
        <f t="shared" si="27"/>
        <v/>
      </c>
      <c r="AJ150" s="376" t="e">
        <f t="shared" si="28"/>
        <v>#N/A</v>
      </c>
      <c r="AK150" s="376" t="str">
        <f>IF(ISNUMBER('1_Combustibles fósiles'!L50),'1_Combustibles fósiles'!L50*'1_Combustibles fósiles'!I50,"")</f>
        <v/>
      </c>
      <c r="AL150" s="376" t="str">
        <f t="shared" si="29"/>
        <v/>
      </c>
      <c r="AN150" s="376" t="str">
        <f t="shared" si="30"/>
        <v/>
      </c>
      <c r="AO150" s="247" t="str">
        <f>IF(ISNUMBER('1_Combustibles fósiles'!M50),'1_Combustibles fósiles'!M50*'1_Combustibles fósiles'!I50,IF(ISNUMBER('1_Combustibles fósiles'!J50),AN150,""))</f>
        <v/>
      </c>
      <c r="AP150" s="259">
        <f>IF(ISNUMBER('1_Combustibles fósiles'!R50),('1_Combustibles fósiles'!R50*'1_Combustibles fósiles'!S50*$AP$146)/1000,0)</f>
        <v>0</v>
      </c>
    </row>
    <row r="151" spans="2:44" x14ac:dyDescent="0.25">
      <c r="C151" s="256">
        <f>'1_Combustibles fósiles'!H51</f>
        <v>0</v>
      </c>
      <c r="D151" s="257" t="s">
        <v>85</v>
      </c>
      <c r="E151" s="245">
        <f t="shared" si="22"/>
        <v>2.1800000000000002</v>
      </c>
      <c r="F151" s="245">
        <f t="shared" si="22"/>
        <v>2.1800000000000002</v>
      </c>
      <c r="G151" s="245">
        <f t="shared" si="22"/>
        <v>2.1800000000000002</v>
      </c>
      <c r="H151" s="245">
        <f t="shared" si="22"/>
        <v>2.1800000000000002</v>
      </c>
      <c r="I151" s="245">
        <f t="shared" si="22"/>
        <v>2.1800000000000002</v>
      </c>
      <c r="J151" s="245">
        <f t="shared" si="22"/>
        <v>2.1800000000000002</v>
      </c>
      <c r="K151" s="245">
        <f t="shared" si="22"/>
        <v>2.1800000000000002</v>
      </c>
      <c r="L151" s="245">
        <f t="shared" si="22"/>
        <v>2.1800000000000002</v>
      </c>
      <c r="M151" s="245">
        <f t="shared" si="22"/>
        <v>2.1800000000000002</v>
      </c>
      <c r="N151" s="245">
        <f t="shared" si="22"/>
        <v>2.2440000000000002</v>
      </c>
      <c r="Q151" s="258" t="e">
        <f t="shared" si="23"/>
        <v>#N/A</v>
      </c>
      <c r="R151" s="247" t="str">
        <f>IF(ISNUMBER('1_Combustibles fósiles'!J51),'1_Combustibles fósiles'!J51*'1_Combustibles fósiles'!I51,"")</f>
        <v/>
      </c>
      <c r="S151" s="259">
        <f>IF(ISNUMBER('1_Combustibles fósiles'!R51),('1_Combustibles fósiles'!R51*'1_Combustibles fósiles'!S51)/1000,0)</f>
        <v>0</v>
      </c>
      <c r="X151">
        <v>0.95</v>
      </c>
      <c r="Y151" s="265" t="s">
        <v>85</v>
      </c>
      <c r="Z151" s="265">
        <f>Z$148</f>
        <v>0.77500000000000002</v>
      </c>
      <c r="AA151" s="371">
        <f>AA$148</f>
        <v>12.305653999999999</v>
      </c>
      <c r="AB151" s="372">
        <f>AB$148</f>
        <v>1.3679999890559999E-5</v>
      </c>
      <c r="AC151" s="372">
        <f>AC$148</f>
        <v>2.051999983584E-5</v>
      </c>
      <c r="AD151" s="372">
        <f t="shared" si="24"/>
        <v>1.3046454266428363E-4</v>
      </c>
      <c r="AE151" s="372">
        <f t="shared" si="25"/>
        <v>1.9569681399642544E-4</v>
      </c>
      <c r="AG151" s="376" t="e">
        <f t="shared" si="26"/>
        <v>#N/A</v>
      </c>
      <c r="AH151" s="376" t="str">
        <f>IF(ISNUMBER('1_Combustibles fósiles'!K51),'1_Combustibles fósiles'!K51*'1_Combustibles fósiles'!I51,"")</f>
        <v/>
      </c>
      <c r="AI151" s="376" t="str">
        <f t="shared" si="27"/>
        <v/>
      </c>
      <c r="AJ151" s="376" t="e">
        <f t="shared" si="28"/>
        <v>#N/A</v>
      </c>
      <c r="AK151" s="376" t="str">
        <f>IF(ISNUMBER('1_Combustibles fósiles'!L51),'1_Combustibles fósiles'!L51*'1_Combustibles fósiles'!I51,"")</f>
        <v/>
      </c>
      <c r="AL151" s="376" t="str">
        <f t="shared" si="29"/>
        <v/>
      </c>
      <c r="AN151" s="376" t="str">
        <f t="shared" si="30"/>
        <v/>
      </c>
      <c r="AO151" s="247" t="str">
        <f>IF(ISNUMBER('1_Combustibles fósiles'!M51),'1_Combustibles fósiles'!M51*'1_Combustibles fósiles'!I51,IF(ISNUMBER('1_Combustibles fósiles'!J51),AN151,""))</f>
        <v/>
      </c>
      <c r="AP151" s="259">
        <f>IF(ISNUMBER('1_Combustibles fósiles'!R51),('1_Combustibles fósiles'!R51*'1_Combustibles fósiles'!S51*$AP$146)/1000,0)</f>
        <v>0</v>
      </c>
    </row>
    <row r="152" spans="2:44" x14ac:dyDescent="0.25">
      <c r="C152" s="256">
        <f>'1_Combustibles fósiles'!H52</f>
        <v>0</v>
      </c>
      <c r="D152" s="257" t="s">
        <v>264</v>
      </c>
      <c r="E152" s="245">
        <f t="shared" si="22"/>
        <v>2.0649999999999999</v>
      </c>
      <c r="F152" s="245">
        <f t="shared" si="22"/>
        <v>2.0649999999999999</v>
      </c>
      <c r="G152" s="245">
        <f t="shared" si="22"/>
        <v>2.0649999999999999</v>
      </c>
      <c r="H152" s="245">
        <f t="shared" si="22"/>
        <v>2.0649999999999999</v>
      </c>
      <c r="I152" s="245">
        <f t="shared" si="22"/>
        <v>2.0649999999999999</v>
      </c>
      <c r="J152" s="245">
        <f t="shared" si="22"/>
        <v>2.0649999999999999</v>
      </c>
      <c r="K152" s="245">
        <f t="shared" si="22"/>
        <v>2.0649999999999999</v>
      </c>
      <c r="L152" s="245">
        <f t="shared" si="22"/>
        <v>2.0649999999999999</v>
      </c>
      <c r="M152" s="245">
        <f t="shared" si="22"/>
        <v>2.0649999999999999</v>
      </c>
      <c r="N152" s="245">
        <f t="shared" si="22"/>
        <v>2.125</v>
      </c>
      <c r="Q152" s="258" t="e">
        <f t="shared" si="23"/>
        <v>#N/A</v>
      </c>
      <c r="R152" s="247" t="str">
        <f>IF(ISNUMBER('1_Combustibles fósiles'!J52),'1_Combustibles fósiles'!J52*'1_Combustibles fósiles'!I52,"")</f>
        <v/>
      </c>
      <c r="S152" s="259">
        <f>IF(ISNUMBER('1_Combustibles fósiles'!R52),('1_Combustibles fósiles'!R52*'1_Combustibles fósiles'!S52)/1000,0)</f>
        <v>0</v>
      </c>
      <c r="X152">
        <v>0.9</v>
      </c>
      <c r="Y152" s="265" t="s">
        <v>264</v>
      </c>
      <c r="Z152" s="265">
        <f t="shared" ref="Z152:AA154" si="31">Z$148</f>
        <v>0.77500000000000002</v>
      </c>
      <c r="AA152" s="371">
        <f t="shared" si="31"/>
        <v>12.305653999999999</v>
      </c>
      <c r="AB152" s="372">
        <f t="shared" ref="AB152:AC154" si="32">AB$151*$X152/$X$151</f>
        <v>1.2959999896319999E-5</v>
      </c>
      <c r="AC152" s="372">
        <f t="shared" si="32"/>
        <v>1.9439999844480001E-5</v>
      </c>
      <c r="AD152" s="372">
        <f t="shared" si="24"/>
        <v>1.2359798778721607E-4</v>
      </c>
      <c r="AE152" s="372">
        <f t="shared" si="25"/>
        <v>1.8539698168082411E-4</v>
      </c>
      <c r="AG152" s="376" t="e">
        <f t="shared" si="26"/>
        <v>#N/A</v>
      </c>
      <c r="AH152" s="376" t="str">
        <f>IF(ISNUMBER('1_Combustibles fósiles'!K52),'1_Combustibles fósiles'!K52*'1_Combustibles fósiles'!I52,"")</f>
        <v/>
      </c>
      <c r="AI152" s="376" t="str">
        <f t="shared" si="27"/>
        <v/>
      </c>
      <c r="AJ152" s="376" t="e">
        <f t="shared" si="28"/>
        <v>#N/A</v>
      </c>
      <c r="AK152" s="376" t="str">
        <f>IF(ISNUMBER('1_Combustibles fósiles'!L52),'1_Combustibles fósiles'!L52*'1_Combustibles fósiles'!I52,"")</f>
        <v/>
      </c>
      <c r="AL152" s="376" t="str">
        <f t="shared" si="29"/>
        <v/>
      </c>
      <c r="AN152" s="376" t="str">
        <f t="shared" si="30"/>
        <v/>
      </c>
      <c r="AO152" s="247" t="str">
        <f>IF(ISNUMBER('1_Combustibles fósiles'!M52),'1_Combustibles fósiles'!M52*'1_Combustibles fósiles'!I52,IF(ISNUMBER('1_Combustibles fósiles'!J52),AN152,""))</f>
        <v/>
      </c>
      <c r="AP152" s="259">
        <f>IF(ISNUMBER('1_Combustibles fósiles'!R52),('1_Combustibles fósiles'!R52*'1_Combustibles fósiles'!S52*$AP$146)/1000,0)</f>
        <v>0</v>
      </c>
    </row>
    <row r="153" spans="2:44" x14ac:dyDescent="0.25">
      <c r="C153" s="256">
        <f>'1_Combustibles fósiles'!H53</f>
        <v>0</v>
      </c>
      <c r="D153" s="257" t="s">
        <v>199</v>
      </c>
      <c r="E153" s="245">
        <f t="shared" si="22"/>
        <v>0.34399999999999997</v>
      </c>
      <c r="F153" s="245">
        <f t="shared" si="22"/>
        <v>0.34399999999999997</v>
      </c>
      <c r="G153" s="245">
        <f t="shared" si="22"/>
        <v>0.34399999999999997</v>
      </c>
      <c r="H153" s="245">
        <f t="shared" si="22"/>
        <v>0.34399999999999997</v>
      </c>
      <c r="I153" s="245">
        <f t="shared" si="22"/>
        <v>0.34399999999999997</v>
      </c>
      <c r="J153" s="245">
        <f t="shared" si="22"/>
        <v>0.34399999999999997</v>
      </c>
      <c r="K153" s="245">
        <f t="shared" si="22"/>
        <v>0.34399999999999997</v>
      </c>
      <c r="L153" s="245">
        <f t="shared" si="22"/>
        <v>0.34399999999999997</v>
      </c>
      <c r="M153" s="245">
        <f t="shared" si="22"/>
        <v>0.34399999999999997</v>
      </c>
      <c r="N153" s="245">
        <f t="shared" si="22"/>
        <v>0.35399999999999998</v>
      </c>
      <c r="Q153" s="258" t="e">
        <f t="shared" si="23"/>
        <v>#N/A</v>
      </c>
      <c r="R153" s="247" t="str">
        <f>IF(ISNUMBER('1_Combustibles fósiles'!J53),'1_Combustibles fósiles'!J53*'1_Combustibles fósiles'!I53,"")</f>
        <v/>
      </c>
      <c r="S153" s="259">
        <f>IF(ISNUMBER('1_Combustibles fósiles'!R53),('1_Combustibles fósiles'!R53*'1_Combustibles fósiles'!S53)/1000,0)</f>
        <v>0</v>
      </c>
      <c r="X153">
        <v>0.15</v>
      </c>
      <c r="Y153" s="265" t="s">
        <v>199</v>
      </c>
      <c r="Z153" s="265">
        <f t="shared" si="31"/>
        <v>0.77500000000000002</v>
      </c>
      <c r="AA153" s="371">
        <f t="shared" si="31"/>
        <v>12.305653999999999</v>
      </c>
      <c r="AB153" s="372">
        <f t="shared" si="32"/>
        <v>2.1599999827199998E-6</v>
      </c>
      <c r="AC153" s="372">
        <f t="shared" si="32"/>
        <v>3.2399999740800002E-6</v>
      </c>
      <c r="AD153" s="372">
        <f t="shared" si="24"/>
        <v>2.0599664631202678E-5</v>
      </c>
      <c r="AE153" s="372">
        <f t="shared" si="25"/>
        <v>3.0899496946804016E-5</v>
      </c>
      <c r="AG153" s="376" t="e">
        <f t="shared" si="26"/>
        <v>#N/A</v>
      </c>
      <c r="AH153" s="376" t="str">
        <f>IF(ISNUMBER('1_Combustibles fósiles'!K53),'1_Combustibles fósiles'!K53*'1_Combustibles fósiles'!I53,"")</f>
        <v/>
      </c>
      <c r="AI153" s="376" t="str">
        <f t="shared" si="27"/>
        <v/>
      </c>
      <c r="AJ153" s="376" t="e">
        <f t="shared" si="28"/>
        <v>#N/A</v>
      </c>
      <c r="AK153" s="376" t="str">
        <f>IF(ISNUMBER('1_Combustibles fósiles'!L53),'1_Combustibles fósiles'!L53*'1_Combustibles fósiles'!I53,"")</f>
        <v/>
      </c>
      <c r="AL153" s="376" t="str">
        <f t="shared" si="29"/>
        <v/>
      </c>
      <c r="AN153" s="376" t="str">
        <f t="shared" si="30"/>
        <v/>
      </c>
      <c r="AO153" s="247" t="str">
        <f>IF(ISNUMBER('1_Combustibles fósiles'!M53),'1_Combustibles fósiles'!M53*'1_Combustibles fósiles'!I53,IF(ISNUMBER('1_Combustibles fósiles'!J53),AN153,""))</f>
        <v/>
      </c>
      <c r="AP153" s="259">
        <f>IF(ISNUMBER('1_Combustibles fósiles'!R53),('1_Combustibles fósiles'!R53*'1_Combustibles fósiles'!S53*$AP$146)/1000,0)</f>
        <v>0</v>
      </c>
    </row>
    <row r="154" spans="2:44" x14ac:dyDescent="0.25">
      <c r="C154" s="256">
        <f>'1_Combustibles fósiles'!H54</f>
        <v>0</v>
      </c>
      <c r="D154" s="257" t="s">
        <v>204</v>
      </c>
      <c r="E154" s="245">
        <f t="shared" si="22"/>
        <v>0</v>
      </c>
      <c r="F154" s="245">
        <f t="shared" si="22"/>
        <v>0</v>
      </c>
      <c r="G154" s="245">
        <f t="shared" si="22"/>
        <v>0</v>
      </c>
      <c r="H154" s="245">
        <f t="shared" si="22"/>
        <v>0</v>
      </c>
      <c r="I154" s="245">
        <f t="shared" si="22"/>
        <v>0</v>
      </c>
      <c r="J154" s="245">
        <f t="shared" si="22"/>
        <v>0</v>
      </c>
      <c r="K154" s="245">
        <f t="shared" si="22"/>
        <v>0</v>
      </c>
      <c r="L154" s="245">
        <f t="shared" si="22"/>
        <v>0</v>
      </c>
      <c r="M154" s="245">
        <f t="shared" si="22"/>
        <v>0</v>
      </c>
      <c r="N154" s="245">
        <f t="shared" si="22"/>
        <v>0</v>
      </c>
      <c r="Q154" s="258" t="e">
        <f t="shared" si="23"/>
        <v>#N/A</v>
      </c>
      <c r="R154" s="247" t="str">
        <f>IF(ISNUMBER('1_Combustibles fósiles'!J54),'1_Combustibles fósiles'!J54*'1_Combustibles fósiles'!I54,"")</f>
        <v/>
      </c>
      <c r="S154" s="259">
        <f>IF(ISNUMBER('1_Combustibles fósiles'!R54),('1_Combustibles fósiles'!R54*'1_Combustibles fósiles'!S54)/1000,0)</f>
        <v>0</v>
      </c>
      <c r="X154">
        <v>0</v>
      </c>
      <c r="Y154" s="265" t="s">
        <v>204</v>
      </c>
      <c r="Z154" s="265">
        <f t="shared" si="31"/>
        <v>0.77500000000000002</v>
      </c>
      <c r="AA154" s="371">
        <f t="shared" si="31"/>
        <v>12.305653999999999</v>
      </c>
      <c r="AB154" s="372">
        <f t="shared" si="32"/>
        <v>0</v>
      </c>
      <c r="AC154" s="372">
        <f t="shared" si="32"/>
        <v>0</v>
      </c>
      <c r="AD154" s="372">
        <f t="shared" si="24"/>
        <v>0</v>
      </c>
      <c r="AE154" s="372">
        <f t="shared" si="25"/>
        <v>0</v>
      </c>
      <c r="AG154" s="376" t="e">
        <f t="shared" si="26"/>
        <v>#N/A</v>
      </c>
      <c r="AH154" s="376" t="str">
        <f>IF(ISNUMBER('1_Combustibles fósiles'!K54),'1_Combustibles fósiles'!K54*'1_Combustibles fósiles'!I54,"")</f>
        <v/>
      </c>
      <c r="AI154" s="376" t="str">
        <f t="shared" si="27"/>
        <v/>
      </c>
      <c r="AJ154" s="376" t="e">
        <f t="shared" si="28"/>
        <v>#N/A</v>
      </c>
      <c r="AK154" s="376" t="str">
        <f>IF(ISNUMBER('1_Combustibles fósiles'!L54),'1_Combustibles fósiles'!L54*'1_Combustibles fósiles'!I54,"")</f>
        <v/>
      </c>
      <c r="AL154" s="376" t="str">
        <f t="shared" si="29"/>
        <v/>
      </c>
      <c r="AN154" s="376" t="str">
        <f t="shared" si="30"/>
        <v/>
      </c>
      <c r="AO154" s="247" t="str">
        <f>IF(ISNUMBER('1_Combustibles fósiles'!M54),'1_Combustibles fósiles'!M54*'1_Combustibles fósiles'!I54,IF(ISNUMBER('1_Combustibles fósiles'!J54),AN154,""))</f>
        <v/>
      </c>
      <c r="AP154" s="259">
        <f>IF(ISNUMBER('1_Combustibles fósiles'!R54),('1_Combustibles fósiles'!R54*'1_Combustibles fósiles'!S54*$AP$146)/1000,0)</f>
        <v>0</v>
      </c>
    </row>
    <row r="155" spans="2:44" x14ac:dyDescent="0.25">
      <c r="C155" s="256">
        <f>'1_Combustibles fósiles'!H55</f>
        <v>0</v>
      </c>
      <c r="D155" s="257" t="s">
        <v>208</v>
      </c>
      <c r="E155" s="245">
        <f t="shared" si="22"/>
        <v>2.4670000000000001</v>
      </c>
      <c r="F155" s="245">
        <f t="shared" si="22"/>
        <v>2.4670000000000001</v>
      </c>
      <c r="G155" s="245">
        <f t="shared" si="22"/>
        <v>2.4670000000000001</v>
      </c>
      <c r="H155" s="245">
        <f t="shared" si="22"/>
        <v>2.4670000000000001</v>
      </c>
      <c r="I155" s="245">
        <f t="shared" si="22"/>
        <v>2.4670000000000001</v>
      </c>
      <c r="J155" s="245">
        <f t="shared" si="22"/>
        <v>2.4670000000000001</v>
      </c>
      <c r="K155" s="245">
        <f t="shared" si="22"/>
        <v>2.4670000000000001</v>
      </c>
      <c r="L155" s="245">
        <f t="shared" si="22"/>
        <v>2.4670000000000001</v>
      </c>
      <c r="M155" s="245">
        <f t="shared" si="22"/>
        <v>2.4670000000000001</v>
      </c>
      <c r="N155" s="245">
        <f t="shared" si="22"/>
        <v>2.456</v>
      </c>
      <c r="Q155" s="258" t="e">
        <f t="shared" si="23"/>
        <v>#N/A</v>
      </c>
      <c r="R155" s="247" t="str">
        <f>IF(ISNUMBER('1_Combustibles fósiles'!J55),'1_Combustibles fósiles'!J55*'1_Combustibles fósiles'!I55,"")</f>
        <v/>
      </c>
      <c r="S155" s="259">
        <f>IF(ISNUMBER('1_Combustibles fósiles'!R55),('1_Combustibles fósiles'!R55*'1_Combustibles fósiles'!S55)/1000,0)</f>
        <v>0</v>
      </c>
      <c r="X155">
        <v>0.93</v>
      </c>
      <c r="Y155" s="265" t="s">
        <v>208</v>
      </c>
      <c r="Z155" s="265">
        <f>Z$149</f>
        <v>0.84499999999999997</v>
      </c>
      <c r="AA155" s="371">
        <f>AA$149</f>
        <v>11.94454</v>
      </c>
      <c r="AB155" s="372">
        <f>AB$149</f>
        <v>1.4039999887679998E-5</v>
      </c>
      <c r="AC155" s="372">
        <f>AC$149</f>
        <v>1.4039999887679998E-5</v>
      </c>
      <c r="AD155" s="372">
        <f t="shared" si="24"/>
        <v>1.417076325183389E-4</v>
      </c>
      <c r="AE155" s="372">
        <f t="shared" si="25"/>
        <v>1.417076325183389E-4</v>
      </c>
      <c r="AG155" s="376" t="e">
        <f t="shared" si="26"/>
        <v>#N/A</v>
      </c>
      <c r="AH155" s="376" t="str">
        <f>IF(ISNUMBER('1_Combustibles fósiles'!K55),'1_Combustibles fósiles'!K55*'1_Combustibles fósiles'!I55,"")</f>
        <v/>
      </c>
      <c r="AI155" s="376" t="str">
        <f t="shared" si="27"/>
        <v/>
      </c>
      <c r="AJ155" s="376" t="e">
        <f t="shared" si="28"/>
        <v>#N/A</v>
      </c>
      <c r="AK155" s="376" t="str">
        <f>IF(ISNUMBER('1_Combustibles fósiles'!L55),'1_Combustibles fósiles'!L55*'1_Combustibles fósiles'!I55,"")</f>
        <v/>
      </c>
      <c r="AL155" s="376" t="str">
        <f t="shared" si="29"/>
        <v/>
      </c>
      <c r="AN155" s="376" t="str">
        <f t="shared" si="30"/>
        <v/>
      </c>
      <c r="AO155" s="247" t="str">
        <f>IF(ISNUMBER('1_Combustibles fósiles'!M55),'1_Combustibles fósiles'!M55*'1_Combustibles fósiles'!I55,IF(ISNUMBER('1_Combustibles fósiles'!J55),AN155,""))</f>
        <v/>
      </c>
      <c r="AP155" s="259">
        <f>IF(ISNUMBER('1_Combustibles fósiles'!R55),('1_Combustibles fósiles'!R55*'1_Combustibles fósiles'!S55*$AP$146)/1000,0)</f>
        <v>0</v>
      </c>
    </row>
    <row r="156" spans="2:44" x14ac:dyDescent="0.25">
      <c r="C156" s="256">
        <f>'1_Combustibles fósiles'!H56</f>
        <v>0</v>
      </c>
      <c r="D156" s="257" t="s">
        <v>212</v>
      </c>
      <c r="E156" s="245">
        <f t="shared" si="22"/>
        <v>2.387</v>
      </c>
      <c r="F156" s="245">
        <f t="shared" si="22"/>
        <v>2.387</v>
      </c>
      <c r="G156" s="245">
        <f t="shared" si="22"/>
        <v>2.387</v>
      </c>
      <c r="H156" s="245">
        <f t="shared" si="22"/>
        <v>2.387</v>
      </c>
      <c r="I156" s="245">
        <f t="shared" si="22"/>
        <v>2.387</v>
      </c>
      <c r="J156" s="245">
        <f t="shared" si="22"/>
        <v>2.387</v>
      </c>
      <c r="K156" s="245">
        <f t="shared" si="22"/>
        <v>2.387</v>
      </c>
      <c r="L156" s="245">
        <f t="shared" si="22"/>
        <v>2.387</v>
      </c>
      <c r="M156" s="245">
        <f t="shared" si="22"/>
        <v>2.387</v>
      </c>
      <c r="N156" s="245">
        <f t="shared" si="22"/>
        <v>2.3769999999999998</v>
      </c>
      <c r="Q156" s="258" t="e">
        <f t="shared" si="23"/>
        <v>#N/A</v>
      </c>
      <c r="R156" s="247" t="str">
        <f>IF(ISNUMBER('1_Combustibles fósiles'!J56),'1_Combustibles fósiles'!J56*'1_Combustibles fósiles'!I56,"")</f>
        <v/>
      </c>
      <c r="S156" s="259">
        <f>IF(ISNUMBER('1_Combustibles fósiles'!R56),('1_Combustibles fósiles'!R56*'1_Combustibles fósiles'!S56)/1000,0)</f>
        <v>0</v>
      </c>
      <c r="X156">
        <v>0.9</v>
      </c>
      <c r="Y156" s="265" t="s">
        <v>212</v>
      </c>
      <c r="Z156" s="265">
        <f t="shared" ref="Z156:AA159" si="33">Z$149</f>
        <v>0.84499999999999997</v>
      </c>
      <c r="AA156" s="371">
        <f t="shared" si="33"/>
        <v>11.94454</v>
      </c>
      <c r="AB156" s="372">
        <f t="shared" ref="AB156:AC159" si="34">AB$155*$X156/$X$155</f>
        <v>1.3587096665496773E-5</v>
      </c>
      <c r="AC156" s="372">
        <f t="shared" si="34"/>
        <v>1.3587096665496773E-5</v>
      </c>
      <c r="AD156" s="372">
        <f t="shared" si="24"/>
        <v>1.3713641856613444E-4</v>
      </c>
      <c r="AE156" s="372">
        <f t="shared" si="25"/>
        <v>1.3713641856613444E-4</v>
      </c>
      <c r="AG156" s="376" t="e">
        <f t="shared" si="26"/>
        <v>#N/A</v>
      </c>
      <c r="AH156" s="376" t="str">
        <f>IF(ISNUMBER('1_Combustibles fósiles'!K56),'1_Combustibles fósiles'!K56*'1_Combustibles fósiles'!I56,"")</f>
        <v/>
      </c>
      <c r="AI156" s="376" t="str">
        <f t="shared" si="27"/>
        <v/>
      </c>
      <c r="AJ156" s="376" t="e">
        <f t="shared" si="28"/>
        <v>#N/A</v>
      </c>
      <c r="AK156" s="376" t="str">
        <f>IF(ISNUMBER('1_Combustibles fósiles'!L56),'1_Combustibles fósiles'!L56*'1_Combustibles fósiles'!I56,"")</f>
        <v/>
      </c>
      <c r="AL156" s="376" t="str">
        <f t="shared" si="29"/>
        <v/>
      </c>
      <c r="AN156" s="376" t="str">
        <f t="shared" si="30"/>
        <v/>
      </c>
      <c r="AO156" s="247" t="str">
        <f>IF(ISNUMBER('1_Combustibles fósiles'!M56),'1_Combustibles fósiles'!M56*'1_Combustibles fósiles'!I56,IF(ISNUMBER('1_Combustibles fósiles'!J56),AN156,""))</f>
        <v/>
      </c>
      <c r="AP156" s="259">
        <f>IF(ISNUMBER('1_Combustibles fósiles'!R56),('1_Combustibles fósiles'!R56*'1_Combustibles fósiles'!S56*$AP$146)/1000,0)</f>
        <v>0</v>
      </c>
    </row>
    <row r="157" spans="2:44" x14ac:dyDescent="0.25">
      <c r="C157" s="256">
        <f>'1_Combustibles fósiles'!H57</f>
        <v>0</v>
      </c>
      <c r="D157" s="257" t="s">
        <v>215</v>
      </c>
      <c r="E157" s="245">
        <f t="shared" si="22"/>
        <v>2.1219999999999999</v>
      </c>
      <c r="F157" s="245">
        <f t="shared" si="22"/>
        <v>2.1219999999999999</v>
      </c>
      <c r="G157" s="245">
        <f t="shared" si="22"/>
        <v>2.1219999999999999</v>
      </c>
      <c r="H157" s="245">
        <f t="shared" si="22"/>
        <v>2.1219999999999999</v>
      </c>
      <c r="I157" s="245">
        <f t="shared" si="22"/>
        <v>2.1219999999999999</v>
      </c>
      <c r="J157" s="245">
        <f t="shared" si="22"/>
        <v>2.1219999999999999</v>
      </c>
      <c r="K157" s="245">
        <f t="shared" si="22"/>
        <v>2.1219999999999999</v>
      </c>
      <c r="L157" s="245">
        <f t="shared" si="22"/>
        <v>2.1219999999999999</v>
      </c>
      <c r="M157" s="245">
        <f t="shared" si="22"/>
        <v>2.1219999999999999</v>
      </c>
      <c r="N157" s="245">
        <f t="shared" si="22"/>
        <v>2.113</v>
      </c>
      <c r="Q157" s="258" t="e">
        <f t="shared" si="23"/>
        <v>#N/A</v>
      </c>
      <c r="R157" s="247" t="str">
        <f>IF(ISNUMBER('1_Combustibles fósiles'!J57),'1_Combustibles fósiles'!J57*'1_Combustibles fósiles'!I57,"")</f>
        <v/>
      </c>
      <c r="S157" s="259">
        <f>IF(ISNUMBER('1_Combustibles fósiles'!R57),('1_Combustibles fósiles'!R57*'1_Combustibles fósiles'!S57)/1000,0)</f>
        <v>0</v>
      </c>
      <c r="X157">
        <v>0.8</v>
      </c>
      <c r="Y157" s="265" t="s">
        <v>215</v>
      </c>
      <c r="Z157" s="265">
        <f t="shared" si="33"/>
        <v>0.84499999999999997</v>
      </c>
      <c r="AA157" s="371">
        <f t="shared" si="33"/>
        <v>11.94454</v>
      </c>
      <c r="AB157" s="372">
        <f t="shared" si="34"/>
        <v>1.2077419258219354E-5</v>
      </c>
      <c r="AC157" s="372">
        <f t="shared" si="34"/>
        <v>1.2077419258219354E-5</v>
      </c>
      <c r="AD157" s="372">
        <f t="shared" si="24"/>
        <v>1.2189903872545282E-4</v>
      </c>
      <c r="AE157" s="372">
        <f t="shared" si="25"/>
        <v>1.2189903872545282E-4</v>
      </c>
      <c r="AG157" s="376" t="e">
        <f t="shared" si="26"/>
        <v>#N/A</v>
      </c>
      <c r="AH157" s="376" t="str">
        <f>IF(ISNUMBER('1_Combustibles fósiles'!K57),'1_Combustibles fósiles'!K57*'1_Combustibles fósiles'!I57,"")</f>
        <v/>
      </c>
      <c r="AI157" s="376" t="str">
        <f t="shared" si="27"/>
        <v/>
      </c>
      <c r="AJ157" s="376" t="e">
        <f t="shared" si="28"/>
        <v>#N/A</v>
      </c>
      <c r="AK157" s="376" t="str">
        <f>IF(ISNUMBER('1_Combustibles fósiles'!L57),'1_Combustibles fósiles'!L57*'1_Combustibles fósiles'!I57,"")</f>
        <v/>
      </c>
      <c r="AL157" s="376" t="str">
        <f t="shared" si="29"/>
        <v/>
      </c>
      <c r="AN157" s="376" t="str">
        <f t="shared" si="30"/>
        <v/>
      </c>
      <c r="AO157" s="247" t="str">
        <f>IF(ISNUMBER('1_Combustibles fósiles'!M57),'1_Combustibles fósiles'!M57*'1_Combustibles fósiles'!I57,IF(ISNUMBER('1_Combustibles fósiles'!J57),AN157,""))</f>
        <v/>
      </c>
      <c r="AP157" s="259">
        <f>IF(ISNUMBER('1_Combustibles fósiles'!R57),('1_Combustibles fósiles'!R57*'1_Combustibles fósiles'!S57*$AP$146)/1000,0)</f>
        <v>0</v>
      </c>
    </row>
    <row r="158" spans="2:44" x14ac:dyDescent="0.25">
      <c r="C158" s="256">
        <f>'1_Combustibles fósiles'!H58</f>
        <v>0</v>
      </c>
      <c r="D158" s="257" t="s">
        <v>219</v>
      </c>
      <c r="E158" s="245">
        <f t="shared" ref="E158:N166" si="35">INDEX($D$84:$M$112,MATCH($D158,$C$84:$C$112,0),MATCH(E$145,$D$83:$M$83,0))</f>
        <v>1.857</v>
      </c>
      <c r="F158" s="245">
        <f t="shared" si="35"/>
        <v>1.857</v>
      </c>
      <c r="G158" s="245">
        <f t="shared" si="35"/>
        <v>1.857</v>
      </c>
      <c r="H158" s="245">
        <f t="shared" si="35"/>
        <v>1.857</v>
      </c>
      <c r="I158" s="245">
        <f t="shared" si="35"/>
        <v>1.857</v>
      </c>
      <c r="J158" s="245">
        <f t="shared" si="35"/>
        <v>1.857</v>
      </c>
      <c r="K158" s="245">
        <f t="shared" si="35"/>
        <v>1.857</v>
      </c>
      <c r="L158" s="245">
        <f t="shared" si="35"/>
        <v>1.857</v>
      </c>
      <c r="M158" s="245">
        <f t="shared" si="35"/>
        <v>1.857</v>
      </c>
      <c r="N158" s="245">
        <f t="shared" si="35"/>
        <v>1.849</v>
      </c>
      <c r="Q158" s="258" t="e">
        <f t="shared" si="23"/>
        <v>#N/A</v>
      </c>
      <c r="R158" s="247" t="str">
        <f>IF(ISNUMBER('1_Combustibles fósiles'!J58),'1_Combustibles fósiles'!J58*'1_Combustibles fósiles'!I58,"")</f>
        <v/>
      </c>
      <c r="S158" s="259">
        <f>IF(ISNUMBER('1_Combustibles fósiles'!R58),('1_Combustibles fósiles'!R58*'1_Combustibles fósiles'!S58)/1000,0)</f>
        <v>0</v>
      </c>
      <c r="X158">
        <v>0.7</v>
      </c>
      <c r="Y158" s="265" t="s">
        <v>219</v>
      </c>
      <c r="Z158" s="265">
        <f t="shared" si="33"/>
        <v>0.84499999999999997</v>
      </c>
      <c r="AA158" s="371">
        <f t="shared" si="33"/>
        <v>11.94454</v>
      </c>
      <c r="AB158" s="372">
        <f t="shared" si="34"/>
        <v>1.0567741850941932E-5</v>
      </c>
      <c r="AC158" s="372">
        <f t="shared" si="34"/>
        <v>1.0567741850941932E-5</v>
      </c>
      <c r="AD158" s="372">
        <f t="shared" si="24"/>
        <v>1.0666165888477121E-4</v>
      </c>
      <c r="AE158" s="372">
        <f t="shared" si="25"/>
        <v>1.0666165888477121E-4</v>
      </c>
      <c r="AG158" s="376" t="e">
        <f t="shared" si="26"/>
        <v>#N/A</v>
      </c>
      <c r="AH158" s="376" t="str">
        <f>IF(ISNUMBER('1_Combustibles fósiles'!K58),'1_Combustibles fósiles'!K58*'1_Combustibles fósiles'!I58,"")</f>
        <v/>
      </c>
      <c r="AI158" s="376" t="str">
        <f t="shared" si="27"/>
        <v/>
      </c>
      <c r="AJ158" s="376" t="e">
        <f t="shared" si="28"/>
        <v>#N/A</v>
      </c>
      <c r="AK158" s="376" t="str">
        <f>IF(ISNUMBER('1_Combustibles fósiles'!L58),'1_Combustibles fósiles'!L58*'1_Combustibles fósiles'!I58,"")</f>
        <v/>
      </c>
      <c r="AL158" s="376" t="str">
        <f t="shared" si="29"/>
        <v/>
      </c>
      <c r="AN158" s="376" t="str">
        <f t="shared" si="30"/>
        <v/>
      </c>
      <c r="AO158" s="247" t="str">
        <f>IF(ISNUMBER('1_Combustibles fósiles'!M58),'1_Combustibles fósiles'!M58*'1_Combustibles fósiles'!I58,IF(ISNUMBER('1_Combustibles fósiles'!J58),AN158,""))</f>
        <v/>
      </c>
      <c r="AP158" s="259">
        <f>IF(ISNUMBER('1_Combustibles fósiles'!R58),('1_Combustibles fósiles'!R58*'1_Combustibles fósiles'!S58*$AP$146)/1000,0)</f>
        <v>0</v>
      </c>
    </row>
    <row r="159" spans="2:44" x14ac:dyDescent="0.25">
      <c r="C159" s="256">
        <f>'1_Combustibles fósiles'!H59</f>
        <v>0</v>
      </c>
      <c r="D159" s="257" t="s">
        <v>223</v>
      </c>
      <c r="E159" s="245">
        <f t="shared" si="35"/>
        <v>0</v>
      </c>
      <c r="F159" s="245">
        <f t="shared" si="35"/>
        <v>0</v>
      </c>
      <c r="G159" s="245">
        <f t="shared" si="35"/>
        <v>0</v>
      </c>
      <c r="H159" s="245">
        <f t="shared" si="35"/>
        <v>0</v>
      </c>
      <c r="I159" s="245">
        <f t="shared" si="35"/>
        <v>0</v>
      </c>
      <c r="J159" s="245">
        <f t="shared" si="35"/>
        <v>0</v>
      </c>
      <c r="K159" s="245">
        <f t="shared" si="35"/>
        <v>0</v>
      </c>
      <c r="L159" s="245">
        <f t="shared" si="35"/>
        <v>0</v>
      </c>
      <c r="M159" s="245">
        <f t="shared" si="35"/>
        <v>0</v>
      </c>
      <c r="N159" s="245">
        <f t="shared" si="35"/>
        <v>0</v>
      </c>
      <c r="Q159" s="258" t="e">
        <f t="shared" si="23"/>
        <v>#N/A</v>
      </c>
      <c r="R159" s="247" t="str">
        <f>IF(ISNUMBER('1_Combustibles fósiles'!J59),'1_Combustibles fósiles'!J59*'1_Combustibles fósiles'!I59,"")</f>
        <v/>
      </c>
      <c r="S159" s="259">
        <f>IF(ISNUMBER('1_Combustibles fósiles'!R59),('1_Combustibles fósiles'!R59*'1_Combustibles fósiles'!S59)/1000,0)</f>
        <v>0</v>
      </c>
      <c r="X159">
        <v>0</v>
      </c>
      <c r="Y159" s="265" t="s">
        <v>223</v>
      </c>
      <c r="Z159" s="265">
        <f t="shared" si="33"/>
        <v>0.84499999999999997</v>
      </c>
      <c r="AA159" s="371">
        <f t="shared" si="33"/>
        <v>11.94454</v>
      </c>
      <c r="AB159" s="372">
        <f t="shared" si="34"/>
        <v>0</v>
      </c>
      <c r="AC159" s="372">
        <f t="shared" si="34"/>
        <v>0</v>
      </c>
      <c r="AD159" s="372">
        <f t="shared" si="24"/>
        <v>0</v>
      </c>
      <c r="AE159" s="372">
        <f t="shared" si="25"/>
        <v>0</v>
      </c>
      <c r="AG159" s="376" t="e">
        <f t="shared" si="26"/>
        <v>#N/A</v>
      </c>
      <c r="AH159" s="376" t="str">
        <f>IF(ISNUMBER('1_Combustibles fósiles'!K59),'1_Combustibles fósiles'!K59*'1_Combustibles fósiles'!I59,"")</f>
        <v/>
      </c>
      <c r="AI159" s="376" t="str">
        <f t="shared" si="27"/>
        <v/>
      </c>
      <c r="AJ159" s="376" t="e">
        <f t="shared" si="28"/>
        <v>#N/A</v>
      </c>
      <c r="AK159" s="376" t="str">
        <f>IF(ISNUMBER('1_Combustibles fósiles'!L59),'1_Combustibles fósiles'!L59*'1_Combustibles fósiles'!I59,"")</f>
        <v/>
      </c>
      <c r="AL159" s="376" t="str">
        <f t="shared" si="29"/>
        <v/>
      </c>
      <c r="AN159" s="376" t="str">
        <f t="shared" si="30"/>
        <v/>
      </c>
      <c r="AO159" s="247" t="str">
        <f>IF(ISNUMBER('1_Combustibles fósiles'!M59),'1_Combustibles fósiles'!M59*'1_Combustibles fósiles'!I59,IF(ISNUMBER('1_Combustibles fósiles'!J59),AN159,""))</f>
        <v/>
      </c>
      <c r="AP159" s="259">
        <f>IF(ISNUMBER('1_Combustibles fósiles'!R59),('1_Combustibles fósiles'!R59*'1_Combustibles fósiles'!S59*$AP$146)/1000,0)</f>
        <v>0</v>
      </c>
    </row>
    <row r="160" spans="2:44" x14ac:dyDescent="0.25">
      <c r="C160" s="256">
        <f>'1_Combustibles fósiles'!H60</f>
        <v>0</v>
      </c>
      <c r="D160" s="257" t="s">
        <v>228</v>
      </c>
      <c r="E160" s="245">
        <f t="shared" si="35"/>
        <v>0</v>
      </c>
      <c r="F160" s="245">
        <f t="shared" si="35"/>
        <v>0</v>
      </c>
      <c r="G160" s="245">
        <f t="shared" si="35"/>
        <v>0</v>
      </c>
      <c r="H160" s="245">
        <f t="shared" si="35"/>
        <v>0</v>
      </c>
      <c r="I160" s="245">
        <f t="shared" si="35"/>
        <v>0</v>
      </c>
      <c r="J160" s="245">
        <f t="shared" si="35"/>
        <v>0</v>
      </c>
      <c r="K160" s="245">
        <f t="shared" si="35"/>
        <v>0</v>
      </c>
      <c r="L160" s="245">
        <f t="shared" si="35"/>
        <v>0</v>
      </c>
      <c r="M160" s="245">
        <f t="shared" si="35"/>
        <v>0</v>
      </c>
      <c r="N160" s="245">
        <f t="shared" si="35"/>
        <v>0</v>
      </c>
      <c r="Q160" s="258" t="e">
        <f t="shared" si="23"/>
        <v>#N/A</v>
      </c>
      <c r="R160" s="247" t="str">
        <f>IF(ISNUMBER('1_Combustibles fósiles'!J60),'1_Combustibles fósiles'!J60*'1_Combustibles fósiles'!I60,"")</f>
        <v/>
      </c>
      <c r="S160" s="259">
        <f>IF(ISNUMBER('1_Combustibles fósiles'!R60),('1_Combustibles fósiles'!R60*'1_Combustibles fósiles'!S60)/1000,0)</f>
        <v>0</v>
      </c>
      <c r="Y160" s="265" t="s">
        <v>228</v>
      </c>
      <c r="Z160" s="265" t="s">
        <v>280</v>
      </c>
      <c r="AA160" s="371" t="s">
        <v>280</v>
      </c>
      <c r="AB160" s="372">
        <v>0</v>
      </c>
      <c r="AC160" s="372">
        <v>0</v>
      </c>
      <c r="AD160" s="372">
        <v>0</v>
      </c>
      <c r="AE160" s="372">
        <v>0</v>
      </c>
      <c r="AG160" s="376" t="e">
        <f t="shared" si="26"/>
        <v>#N/A</v>
      </c>
      <c r="AH160" s="376" t="str">
        <f>IF(ISNUMBER('1_Combustibles fósiles'!K60),'1_Combustibles fósiles'!K60*'1_Combustibles fósiles'!I60,"")</f>
        <v/>
      </c>
      <c r="AI160" s="376" t="str">
        <f t="shared" si="27"/>
        <v/>
      </c>
      <c r="AJ160" s="376" t="e">
        <f t="shared" si="28"/>
        <v>#N/A</v>
      </c>
      <c r="AK160" s="376" t="str">
        <f>IF(ISNUMBER('1_Combustibles fósiles'!L60),'1_Combustibles fósiles'!L60*'1_Combustibles fósiles'!I60,"")</f>
        <v/>
      </c>
      <c r="AL160" s="376" t="str">
        <f t="shared" si="29"/>
        <v/>
      </c>
      <c r="AN160" s="376" t="str">
        <f t="shared" si="30"/>
        <v/>
      </c>
      <c r="AO160" s="247" t="str">
        <f>IF(ISNUMBER('1_Combustibles fósiles'!M60),'1_Combustibles fósiles'!M60*'1_Combustibles fósiles'!I60,IF(ISNUMBER('1_Combustibles fósiles'!J60),AN160,""))</f>
        <v/>
      </c>
      <c r="AP160" s="259">
        <f>IF(ISNUMBER('1_Combustibles fósiles'!R60),('1_Combustibles fósiles'!R60*'1_Combustibles fósiles'!S60*$AP$146)/1000,0)</f>
        <v>0</v>
      </c>
    </row>
    <row r="161" spans="1:42" x14ac:dyDescent="0.25">
      <c r="C161" s="256">
        <f>'1_Combustibles fósiles'!H61</f>
        <v>0</v>
      </c>
      <c r="D161" s="257" t="s">
        <v>276</v>
      </c>
      <c r="E161" s="245">
        <f t="shared" si="35"/>
        <v>2.7429999999999999</v>
      </c>
      <c r="F161" s="245">
        <f t="shared" si="35"/>
        <v>2.7229999999999999</v>
      </c>
      <c r="G161" s="245">
        <f t="shared" si="35"/>
        <v>2.7130000000000001</v>
      </c>
      <c r="H161" s="245">
        <f t="shared" si="35"/>
        <v>2.7130000000000001</v>
      </c>
      <c r="I161" s="245">
        <f t="shared" si="35"/>
        <v>2.6970000000000001</v>
      </c>
      <c r="J161" s="245">
        <f t="shared" si="35"/>
        <v>2.7050000000000001</v>
      </c>
      <c r="K161" s="245">
        <f t="shared" si="35"/>
        <v>2.7040000000000002</v>
      </c>
      <c r="L161" s="245">
        <f t="shared" si="35"/>
        <v>2.71</v>
      </c>
      <c r="M161" s="245">
        <f t="shared" si="35"/>
        <v>2.6970000000000001</v>
      </c>
      <c r="N161" s="245">
        <f t="shared" si="35"/>
        <v>2.7210000000000001</v>
      </c>
      <c r="Q161" s="258" t="e">
        <f t="shared" si="23"/>
        <v>#N/A</v>
      </c>
      <c r="R161" s="247" t="str">
        <f>IF(ISNUMBER('1_Combustibles fósiles'!J61),'1_Combustibles fósiles'!J61*'1_Combustibles fósiles'!I61,"")</f>
        <v/>
      </c>
      <c r="S161" s="259">
        <f>IF(ISNUMBER('1_Combustibles fósiles'!R61),('1_Combustibles fósiles'!R61*'1_Combustibles fósiles'!S61)/1000,0)</f>
        <v>0</v>
      </c>
      <c r="Y161" s="265" t="s">
        <v>276</v>
      </c>
      <c r="Z161" s="265" t="s">
        <v>280</v>
      </c>
      <c r="AA161" s="371">
        <f>48.52*277.78/1000</f>
        <v>13.4778856</v>
      </c>
      <c r="AB161" s="372">
        <f>92/277777.78</f>
        <v>3.3119999735039998E-4</v>
      </c>
      <c r="AC161" s="372">
        <f>3/277777.78</f>
        <v>1.07999999136E-5</v>
      </c>
      <c r="AD161" s="372">
        <f t="shared" ref="AD161:AD162" si="36">AA161*AB161</f>
        <v>4.463875675008994E-3</v>
      </c>
      <c r="AE161" s="372">
        <f t="shared" ref="AE161:AE162" si="37">AA161*AC161</f>
        <v>1.4556116331551069E-4</v>
      </c>
      <c r="AG161" s="376" t="e">
        <f t="shared" si="26"/>
        <v>#N/A</v>
      </c>
      <c r="AH161" s="376" t="str">
        <f>IF(ISNUMBER('1_Combustibles fósiles'!K61),'1_Combustibles fósiles'!K61*'1_Combustibles fósiles'!I61,"")</f>
        <v/>
      </c>
      <c r="AI161" s="376" t="str">
        <f t="shared" si="27"/>
        <v/>
      </c>
      <c r="AJ161" s="376" t="e">
        <f t="shared" si="28"/>
        <v>#N/A</v>
      </c>
      <c r="AK161" s="376" t="str">
        <f>IF(ISNUMBER('1_Combustibles fósiles'!L61),'1_Combustibles fósiles'!L61*'1_Combustibles fósiles'!I61,"")</f>
        <v/>
      </c>
      <c r="AL161" s="376" t="str">
        <f t="shared" si="29"/>
        <v/>
      </c>
      <c r="AN161" s="376" t="str">
        <f t="shared" si="30"/>
        <v/>
      </c>
      <c r="AO161" s="247" t="str">
        <f>IF(ISNUMBER('1_Combustibles fósiles'!M61),'1_Combustibles fósiles'!M61*'1_Combustibles fósiles'!I61,IF(ISNUMBER('1_Combustibles fósiles'!J61),AN161,""))</f>
        <v/>
      </c>
      <c r="AP161" s="259">
        <f>IF(ISNUMBER('1_Combustibles fósiles'!R61),('1_Combustibles fósiles'!R61*'1_Combustibles fósiles'!S61*$AP$146)/1000,0)</f>
        <v>0</v>
      </c>
    </row>
    <row r="162" spans="1:42" x14ac:dyDescent="0.25">
      <c r="C162" s="256">
        <f>'1_Combustibles fósiles'!H62</f>
        <v>0</v>
      </c>
      <c r="D162" s="257" t="s">
        <v>233</v>
      </c>
      <c r="E162" s="245">
        <f t="shared" si="35"/>
        <v>2.7429999999999999</v>
      </c>
      <c r="F162" s="245">
        <f t="shared" si="35"/>
        <v>2.7229999999999999</v>
      </c>
      <c r="G162" s="245">
        <f t="shared" si="35"/>
        <v>2.7130000000000001</v>
      </c>
      <c r="H162" s="245">
        <f t="shared" si="35"/>
        <v>2.7130000000000001</v>
      </c>
      <c r="I162" s="245">
        <f t="shared" si="35"/>
        <v>2.6970000000000001</v>
      </c>
      <c r="J162" s="245">
        <f t="shared" si="35"/>
        <v>2.7050000000000001</v>
      </c>
      <c r="K162" s="245">
        <f t="shared" si="35"/>
        <v>2.7040000000000002</v>
      </c>
      <c r="L162" s="245">
        <f t="shared" si="35"/>
        <v>2.71</v>
      </c>
      <c r="M162" s="245">
        <f t="shared" si="35"/>
        <v>2.6970000000000001</v>
      </c>
      <c r="N162" s="245">
        <f t="shared" si="35"/>
        <v>2.7210000000000001</v>
      </c>
      <c r="Q162" s="258" t="e">
        <f t="shared" si="23"/>
        <v>#N/A</v>
      </c>
      <c r="R162" s="247" t="str">
        <f>IF(ISNUMBER('1_Combustibles fósiles'!J62),'1_Combustibles fósiles'!J62*'1_Combustibles fósiles'!I62,"")</f>
        <v/>
      </c>
      <c r="S162" s="259">
        <f>IF(ISNUMBER('1_Combustibles fósiles'!R62),('1_Combustibles fósiles'!R62*'1_Combustibles fósiles'!S62)/1000,0)</f>
        <v>0</v>
      </c>
      <c r="Y162" s="265" t="s">
        <v>233</v>
      </c>
      <c r="Z162" s="265" t="s">
        <v>280</v>
      </c>
      <c r="AA162" s="371">
        <f>48.52*277.78/1000</f>
        <v>13.4778856</v>
      </c>
      <c r="AB162" s="372">
        <f>92/277777.78</f>
        <v>3.3119999735039998E-4</v>
      </c>
      <c r="AC162" s="372">
        <f>3/277777.78</f>
        <v>1.07999999136E-5</v>
      </c>
      <c r="AD162" s="372">
        <f t="shared" si="36"/>
        <v>4.463875675008994E-3</v>
      </c>
      <c r="AE162" s="372">
        <f t="shared" si="37"/>
        <v>1.4556116331551069E-4</v>
      </c>
      <c r="AG162" s="376" t="e">
        <f t="shared" si="26"/>
        <v>#N/A</v>
      </c>
      <c r="AH162" s="376" t="str">
        <f>IF(ISNUMBER('1_Combustibles fósiles'!K62),'1_Combustibles fósiles'!K62*'1_Combustibles fósiles'!I62,"")</f>
        <v/>
      </c>
      <c r="AI162" s="376" t="str">
        <f t="shared" si="27"/>
        <v/>
      </c>
      <c r="AJ162" s="376" t="e">
        <f t="shared" si="28"/>
        <v>#N/A</v>
      </c>
      <c r="AK162" s="376" t="str">
        <f>IF(ISNUMBER('1_Combustibles fósiles'!L62),'1_Combustibles fósiles'!L62*'1_Combustibles fósiles'!I62,"")</f>
        <v/>
      </c>
      <c r="AL162" s="376" t="str">
        <f t="shared" si="29"/>
        <v/>
      </c>
      <c r="AN162" s="376" t="str">
        <f t="shared" si="30"/>
        <v/>
      </c>
      <c r="AO162" s="247" t="str">
        <f>IF(ISNUMBER('1_Combustibles fósiles'!M62),'1_Combustibles fósiles'!M62*'1_Combustibles fósiles'!I62,IF(ISNUMBER('1_Combustibles fósiles'!J62),AN162,""))</f>
        <v/>
      </c>
      <c r="AP162" s="259">
        <f>IF(ISNUMBER('1_Combustibles fósiles'!R62),('1_Combustibles fósiles'!R62*'1_Combustibles fósiles'!S62*$AP$146)/1000,0)</f>
        <v>0</v>
      </c>
    </row>
    <row r="163" spans="1:42" x14ac:dyDescent="0.25">
      <c r="C163" s="256">
        <f>'1_Combustibles fósiles'!H63</f>
        <v>0</v>
      </c>
      <c r="D163" s="257" t="s">
        <v>211</v>
      </c>
      <c r="E163" s="245">
        <f t="shared" si="35"/>
        <v>1.671</v>
      </c>
      <c r="F163" s="245">
        <f t="shared" si="35"/>
        <v>1.671</v>
      </c>
      <c r="G163" s="245">
        <f t="shared" si="35"/>
        <v>1.671</v>
      </c>
      <c r="H163" s="245">
        <f t="shared" si="35"/>
        <v>1.671</v>
      </c>
      <c r="I163" s="245">
        <f t="shared" si="35"/>
        <v>1.671</v>
      </c>
      <c r="J163" s="245">
        <f t="shared" si="35"/>
        <v>1.671</v>
      </c>
      <c r="K163" s="245">
        <f t="shared" si="35"/>
        <v>1.671</v>
      </c>
      <c r="L163" s="245">
        <f t="shared" si="35"/>
        <v>1.671</v>
      </c>
      <c r="M163" s="245">
        <f t="shared" si="35"/>
        <v>1.671</v>
      </c>
      <c r="N163" s="245">
        <f t="shared" si="35"/>
        <v>1.6279999999999999</v>
      </c>
      <c r="Q163" s="258" t="e">
        <f t="shared" si="23"/>
        <v>#N/A</v>
      </c>
      <c r="R163" s="247" t="str">
        <f>IF(ISNUMBER('1_Combustibles fósiles'!J63),'1_Combustibles fósiles'!J63*'1_Combustibles fósiles'!I63,"")</f>
        <v/>
      </c>
      <c r="S163" s="259">
        <f>IF(ISNUMBER('1_Combustibles fósiles'!R63),('1_Combustibles fósiles'!R63*'1_Combustibles fósiles'!S63)/1000,0)</f>
        <v>0</v>
      </c>
      <c r="Y163" s="265" t="s">
        <v>211</v>
      </c>
      <c r="Z163" s="265">
        <v>0.50760000000000005</v>
      </c>
      <c r="AA163" s="371">
        <f>47.3*277.78/1000</f>
        <v>13.138993999999999</v>
      </c>
      <c r="AB163" s="372">
        <f>62/277777.78</f>
        <v>2.2319999821439999E-4</v>
      </c>
      <c r="AC163" s="372">
        <f>0.2/277777.78</f>
        <v>7.1999999423999998E-7</v>
      </c>
      <c r="AD163" s="372">
        <f t="shared" ref="AD163" si="38">Z163*AA163*AB163</f>
        <v>1.4885996567932827E-3</v>
      </c>
      <c r="AE163" s="372">
        <f t="shared" ref="AE163" si="39">Z163*AA163*AC163</f>
        <v>4.8019343767525243E-6</v>
      </c>
      <c r="AG163" s="376" t="e">
        <f t="shared" si="26"/>
        <v>#N/A</v>
      </c>
      <c r="AH163" s="376" t="str">
        <f>IF(ISNUMBER('1_Combustibles fósiles'!K63),'1_Combustibles fósiles'!K63*'1_Combustibles fósiles'!I63,"")</f>
        <v/>
      </c>
      <c r="AI163" s="376" t="str">
        <f t="shared" si="27"/>
        <v/>
      </c>
      <c r="AJ163" s="376" t="e">
        <f t="shared" si="28"/>
        <v>#N/A</v>
      </c>
      <c r="AK163" s="376" t="str">
        <f>IF(ISNUMBER('1_Combustibles fósiles'!L63),'1_Combustibles fósiles'!L63*'1_Combustibles fósiles'!I63,"")</f>
        <v/>
      </c>
      <c r="AL163" s="376" t="str">
        <f t="shared" si="29"/>
        <v/>
      </c>
      <c r="AN163" s="376" t="str">
        <f t="shared" si="30"/>
        <v/>
      </c>
      <c r="AO163" s="247" t="str">
        <f>IF(ISNUMBER('1_Combustibles fósiles'!M63),'1_Combustibles fósiles'!M63*'1_Combustibles fósiles'!I63,IF(ISNUMBER('1_Combustibles fósiles'!J63),AN163,""))</f>
        <v/>
      </c>
      <c r="AP163" s="259">
        <f>IF(ISNUMBER('1_Combustibles fósiles'!R63),('1_Combustibles fósiles'!R63*'1_Combustibles fósiles'!S63*$AP$146)/1000,0)</f>
        <v>0</v>
      </c>
    </row>
    <row r="164" spans="1:42" x14ac:dyDescent="0.25">
      <c r="C164" s="256">
        <f>'1_Combustibles fósiles'!H64</f>
        <v>0</v>
      </c>
      <c r="D164" s="257" t="s">
        <v>236</v>
      </c>
      <c r="E164" s="245">
        <f t="shared" si="35"/>
        <v>0</v>
      </c>
      <c r="F164" s="245">
        <f t="shared" si="35"/>
        <v>0</v>
      </c>
      <c r="G164" s="245">
        <f t="shared" si="35"/>
        <v>0</v>
      </c>
      <c r="H164" s="245">
        <f t="shared" si="35"/>
        <v>0</v>
      </c>
      <c r="I164" s="245">
        <f t="shared" si="35"/>
        <v>0</v>
      </c>
      <c r="J164" s="245">
        <f t="shared" si="35"/>
        <v>0</v>
      </c>
      <c r="K164" s="245">
        <f t="shared" si="35"/>
        <v>0</v>
      </c>
      <c r="L164" s="245">
        <f t="shared" si="35"/>
        <v>0</v>
      </c>
      <c r="M164" s="245">
        <f t="shared" si="35"/>
        <v>0</v>
      </c>
      <c r="N164" s="245">
        <f t="shared" si="35"/>
        <v>0</v>
      </c>
      <c r="Q164" s="258" t="e">
        <f t="shared" si="23"/>
        <v>#N/A</v>
      </c>
      <c r="R164" s="247" t="str">
        <f>IF(ISNUMBER('1_Combustibles fósiles'!J64),'1_Combustibles fósiles'!J64*'1_Combustibles fósiles'!I64,"")</f>
        <v/>
      </c>
      <c r="S164" s="259">
        <f>IF(ISNUMBER('1_Combustibles fósiles'!R64),('1_Combustibles fósiles'!R64*'1_Combustibles fósiles'!S64)/1000,0)</f>
        <v>0</v>
      </c>
      <c r="Y164" s="265" t="s">
        <v>236</v>
      </c>
      <c r="Z164" s="265" t="s">
        <v>280</v>
      </c>
      <c r="AA164" s="371" t="s">
        <v>280</v>
      </c>
      <c r="AB164" s="372">
        <v>0</v>
      </c>
      <c r="AC164" s="372">
        <v>0</v>
      </c>
      <c r="AD164" s="372">
        <v>0</v>
      </c>
      <c r="AE164" s="372">
        <v>0</v>
      </c>
      <c r="AG164" s="376" t="e">
        <f t="shared" si="26"/>
        <v>#N/A</v>
      </c>
      <c r="AH164" s="376" t="str">
        <f>IF(ISNUMBER('1_Combustibles fósiles'!K64),'1_Combustibles fósiles'!K64*'1_Combustibles fósiles'!I64,"")</f>
        <v/>
      </c>
      <c r="AI164" s="376" t="str">
        <f t="shared" si="27"/>
        <v/>
      </c>
      <c r="AJ164" s="376" t="e">
        <f t="shared" si="28"/>
        <v>#N/A</v>
      </c>
      <c r="AK164" s="376" t="str">
        <f>IF(ISNUMBER('1_Combustibles fósiles'!L64),'1_Combustibles fósiles'!L64*'1_Combustibles fósiles'!I64,"")</f>
        <v/>
      </c>
      <c r="AL164" s="376" t="str">
        <f t="shared" si="29"/>
        <v/>
      </c>
      <c r="AN164" s="376" t="str">
        <f t="shared" si="30"/>
        <v/>
      </c>
      <c r="AO164" s="247" t="str">
        <f>IF(ISNUMBER('1_Combustibles fósiles'!M64),'1_Combustibles fósiles'!M64*'1_Combustibles fósiles'!I64,IF(ISNUMBER('1_Combustibles fósiles'!J64),AN164,""))</f>
        <v/>
      </c>
      <c r="AP164" s="259">
        <f>IF(ISNUMBER('1_Combustibles fósiles'!R64),('1_Combustibles fósiles'!R64*'1_Combustibles fósiles'!S64*$AP$146)/1000,0)</f>
        <v>0</v>
      </c>
    </row>
    <row r="165" spans="1:42" x14ac:dyDescent="0.25">
      <c r="C165" s="256">
        <f>'1_Combustibles fósiles'!H65</f>
        <v>0</v>
      </c>
      <c r="D165" s="257" t="s">
        <v>222</v>
      </c>
      <c r="E165" s="245">
        <f t="shared" si="35"/>
        <v>3.1269999999999998</v>
      </c>
      <c r="F165" s="245">
        <f t="shared" si="35"/>
        <v>3.1269999999999998</v>
      </c>
      <c r="G165" s="245">
        <f t="shared" si="35"/>
        <v>3.1269999999999998</v>
      </c>
      <c r="H165" s="245">
        <f t="shared" si="35"/>
        <v>3.1269999999999998</v>
      </c>
      <c r="I165" s="245">
        <f t="shared" si="35"/>
        <v>3.1269999999999998</v>
      </c>
      <c r="J165" s="245">
        <f t="shared" si="35"/>
        <v>3.1269999999999998</v>
      </c>
      <c r="K165" s="245">
        <f t="shared" si="35"/>
        <v>3.1269999999999998</v>
      </c>
      <c r="L165" s="245">
        <f t="shared" si="35"/>
        <v>3.1269999999999998</v>
      </c>
      <c r="M165" s="245">
        <f t="shared" si="35"/>
        <v>3.1269999999999998</v>
      </c>
      <c r="N165" s="245">
        <f t="shared" si="35"/>
        <v>3.1269999999999998</v>
      </c>
      <c r="Q165" s="258" t="e">
        <f t="shared" si="23"/>
        <v>#N/A</v>
      </c>
      <c r="R165" s="247" t="str">
        <f>IF(ISNUMBER('1_Combustibles fósiles'!J65),'1_Combustibles fósiles'!J65*'1_Combustibles fósiles'!I65,"")</f>
        <v/>
      </c>
      <c r="S165" s="259">
        <f>IF(ISNUMBER('1_Combustibles fósiles'!R65),('1_Combustibles fósiles'!R65*'1_Combustibles fósiles'!S65)/1000,0)</f>
        <v>0</v>
      </c>
      <c r="Y165" s="265" t="s">
        <v>222</v>
      </c>
      <c r="Z165" s="265" t="s">
        <v>280</v>
      </c>
      <c r="AA165" s="371">
        <f>40.4*277.78/1000</f>
        <v>11.222311999999999</v>
      </c>
      <c r="AB165" s="372">
        <f>1.4/277777.78</f>
        <v>5.0399999596799993E-6</v>
      </c>
      <c r="AC165" s="372">
        <f>0.3/277777.78</f>
        <v>1.0799999913599999E-6</v>
      </c>
      <c r="AD165" s="372">
        <f>AA165*AB165</f>
        <v>5.6560452027516364E-5</v>
      </c>
      <c r="AE165" s="372">
        <f>AA165*AC165</f>
        <v>1.2120096863039222E-5</v>
      </c>
      <c r="AG165" s="376" t="e">
        <f t="shared" si="26"/>
        <v>#N/A</v>
      </c>
      <c r="AH165" s="376" t="str">
        <f>IF(ISNUMBER('1_Combustibles fósiles'!K65),'1_Combustibles fósiles'!K65*'1_Combustibles fósiles'!I65,"")</f>
        <v/>
      </c>
      <c r="AI165" s="376" t="str">
        <f t="shared" si="27"/>
        <v/>
      </c>
      <c r="AJ165" s="376" t="e">
        <f t="shared" si="28"/>
        <v>#N/A</v>
      </c>
      <c r="AK165" s="376" t="str">
        <f>IF(ISNUMBER('1_Combustibles fósiles'!L65),'1_Combustibles fósiles'!L65*'1_Combustibles fósiles'!I65,"")</f>
        <v/>
      </c>
      <c r="AL165" s="376" t="str">
        <f t="shared" si="29"/>
        <v/>
      </c>
      <c r="AN165" s="376" t="str">
        <f t="shared" si="30"/>
        <v/>
      </c>
      <c r="AO165" s="247" t="str">
        <f>IF(ISNUMBER('1_Combustibles fósiles'!M65),'1_Combustibles fósiles'!M65*'1_Combustibles fósiles'!I65,IF(ISNUMBER('1_Combustibles fósiles'!J65),AN165,""))</f>
        <v/>
      </c>
      <c r="AP165" s="259">
        <f>IF(ISNUMBER('1_Combustibles fósiles'!R65),('1_Combustibles fósiles'!R65*'1_Combustibles fósiles'!S65*$AP$146)/1000,0)</f>
        <v>0</v>
      </c>
    </row>
    <row r="166" spans="1:42" x14ac:dyDescent="0.25">
      <c r="C166" s="256">
        <f>'1_Combustibles fósiles'!H66</f>
        <v>0</v>
      </c>
      <c r="D166" s="260" t="s">
        <v>265</v>
      </c>
      <c r="E166" s="245" t="str">
        <f t="shared" si="35"/>
        <v>-</v>
      </c>
      <c r="F166" s="245" t="str">
        <f t="shared" si="35"/>
        <v>-</v>
      </c>
      <c r="G166" s="245" t="str">
        <f t="shared" si="35"/>
        <v>-</v>
      </c>
      <c r="H166" s="245" t="str">
        <f t="shared" si="35"/>
        <v>-</v>
      </c>
      <c r="I166" s="245" t="str">
        <f t="shared" si="35"/>
        <v>-</v>
      </c>
      <c r="J166" s="245" t="str">
        <f t="shared" si="35"/>
        <v>-</v>
      </c>
      <c r="K166" s="245" t="str">
        <f t="shared" si="35"/>
        <v>-</v>
      </c>
      <c r="L166" s="245" t="str">
        <f t="shared" si="35"/>
        <v>-</v>
      </c>
      <c r="M166" s="245" t="str">
        <f t="shared" si="35"/>
        <v>-</v>
      </c>
      <c r="N166" s="245" t="str">
        <f t="shared" si="35"/>
        <v>-</v>
      </c>
      <c r="Q166" s="258" t="e">
        <f t="shared" si="23"/>
        <v>#N/A</v>
      </c>
      <c r="R166" s="247" t="str">
        <f>IF(ISNUMBER('1_Combustibles fósiles'!J66),'1_Combustibles fósiles'!J66*'1_Combustibles fósiles'!I66,"")</f>
        <v/>
      </c>
      <c r="S166" s="259">
        <f>IF(ISNUMBER('1_Combustibles fósiles'!R66),('1_Combustibles fósiles'!R66*'1_Combustibles fósiles'!S66)/1000,0)</f>
        <v>0</v>
      </c>
      <c r="Y166" s="265" t="s">
        <v>84</v>
      </c>
      <c r="Z166" s="265" t="s">
        <v>280</v>
      </c>
      <c r="AA166" s="371"/>
      <c r="AB166" s="372" t="s">
        <v>280</v>
      </c>
      <c r="AC166" s="372" t="s">
        <v>280</v>
      </c>
      <c r="AD166" s="372" t="s">
        <v>280</v>
      </c>
      <c r="AE166" s="372" t="s">
        <v>280</v>
      </c>
      <c r="AG166" s="376" t="e">
        <f t="shared" si="26"/>
        <v>#N/A</v>
      </c>
      <c r="AH166" s="376" t="str">
        <f>IF(ISNUMBER('1_Combustibles fósiles'!K66),'1_Combustibles fósiles'!K66*'1_Combustibles fósiles'!I66,"")</f>
        <v/>
      </c>
      <c r="AI166" s="376" t="str">
        <f t="shared" si="27"/>
        <v/>
      </c>
      <c r="AJ166" s="376" t="e">
        <f t="shared" si="28"/>
        <v>#N/A</v>
      </c>
      <c r="AK166" s="376" t="str">
        <f>IF(ISNUMBER('1_Combustibles fósiles'!L66),'1_Combustibles fósiles'!L66*'1_Combustibles fósiles'!I66,"")</f>
        <v/>
      </c>
      <c r="AL166" s="376" t="str">
        <f t="shared" si="29"/>
        <v/>
      </c>
      <c r="AN166" s="376" t="str">
        <f t="shared" si="30"/>
        <v/>
      </c>
      <c r="AO166" s="247" t="str">
        <f>IF(ISNUMBER('1_Combustibles fósiles'!M66),'1_Combustibles fósiles'!M66*'1_Combustibles fósiles'!I66,IF(ISNUMBER('1_Combustibles fósiles'!J66),AN166,""))</f>
        <v/>
      </c>
      <c r="AP166" s="259">
        <f>IF(ISNUMBER('1_Combustibles fósiles'!R66),('1_Combustibles fósiles'!R66*'1_Combustibles fósiles'!S66*$AP$146)/1000,0)</f>
        <v>0</v>
      </c>
    </row>
    <row r="167" spans="1:42" x14ac:dyDescent="0.25">
      <c r="C167" s="256">
        <f>'1_Combustibles fósiles'!H67</f>
        <v>0</v>
      </c>
      <c r="D167" s="216"/>
      <c r="E167" s="216"/>
      <c r="Q167" s="258" t="e">
        <f t="shared" si="23"/>
        <v>#N/A</v>
      </c>
      <c r="R167" s="247" t="str">
        <f>IF(ISNUMBER('1_Combustibles fósiles'!J67),'1_Combustibles fósiles'!J67*'1_Combustibles fósiles'!I67,"")</f>
        <v/>
      </c>
      <c r="S167" s="259">
        <f>IF(ISNUMBER('1_Combustibles fósiles'!R67),('1_Combustibles fósiles'!R67*'1_Combustibles fósiles'!S67)/1000,0)</f>
        <v>0</v>
      </c>
      <c r="AG167" s="376" t="e">
        <f t="shared" si="26"/>
        <v>#N/A</v>
      </c>
      <c r="AH167" s="376" t="str">
        <f>IF(ISNUMBER('1_Combustibles fósiles'!K67),'1_Combustibles fósiles'!K67*'1_Combustibles fósiles'!I67,"")</f>
        <v/>
      </c>
      <c r="AI167" s="376" t="str">
        <f t="shared" si="27"/>
        <v/>
      </c>
      <c r="AJ167" s="376" t="e">
        <f t="shared" si="28"/>
        <v>#N/A</v>
      </c>
      <c r="AK167" s="376" t="str">
        <f>IF(ISNUMBER('1_Combustibles fósiles'!L67),'1_Combustibles fósiles'!L67*'1_Combustibles fósiles'!I67,"")</f>
        <v/>
      </c>
      <c r="AL167" s="376" t="str">
        <f t="shared" si="29"/>
        <v/>
      </c>
      <c r="AN167" s="376" t="str">
        <f>IF(ISNUMBER(Q167),R167+AI167+AL167,"")</f>
        <v/>
      </c>
      <c r="AO167" s="247" t="str">
        <f>IF(ISNUMBER('1_Combustibles fósiles'!M67),'1_Combustibles fósiles'!M67*'1_Combustibles fósiles'!I67,IF(ISNUMBER('1_Combustibles fósiles'!J67),AN167,""))</f>
        <v/>
      </c>
      <c r="AP167" s="259">
        <f>IF(ISNUMBER('1_Combustibles fósiles'!R67),('1_Combustibles fósiles'!R67*'1_Combustibles fósiles'!S67*$AP$146)/1000,0)</f>
        <v>0</v>
      </c>
    </row>
    <row r="168" spans="1:42" x14ac:dyDescent="0.25">
      <c r="R168" s="261"/>
      <c r="S168" s="261"/>
      <c r="AG168" s="377"/>
      <c r="AH168" s="377"/>
      <c r="AI168" s="377"/>
      <c r="AJ168" s="377"/>
      <c r="AK168" s="377"/>
      <c r="AL168" s="377"/>
      <c r="AN168" s="261"/>
      <c r="AO168" s="261">
        <f>'1_Combustibles fósiles'!O68</f>
        <v>0</v>
      </c>
      <c r="AP168" s="261">
        <f>'1_Combustibles fósiles'!U68</f>
        <v>0</v>
      </c>
    </row>
    <row r="169" spans="1:42" x14ac:dyDescent="0.25">
      <c r="A169" s="210" t="s">
        <v>327</v>
      </c>
      <c r="AG169" s="377"/>
      <c r="AH169" s="377"/>
      <c r="AI169" s="377"/>
      <c r="AJ169" s="377"/>
      <c r="AK169" s="377"/>
      <c r="AL169" s="377"/>
    </row>
    <row r="170" spans="1:42" ht="37.5" customHeight="1" x14ac:dyDescent="0.25">
      <c r="C170" s="237" t="s">
        <v>328</v>
      </c>
      <c r="D170" s="262" t="s">
        <v>329</v>
      </c>
      <c r="E170" s="262" t="s">
        <v>330</v>
      </c>
      <c r="F170" s="254" t="s">
        <v>329</v>
      </c>
      <c r="G170" s="262" t="s">
        <v>97</v>
      </c>
      <c r="H170" s="241" t="s">
        <v>319</v>
      </c>
      <c r="I170" s="241" t="s">
        <v>331</v>
      </c>
      <c r="K170" s="254" t="s">
        <v>319</v>
      </c>
      <c r="L170" s="254" t="s">
        <v>319</v>
      </c>
      <c r="M170" s="254" t="s">
        <v>319</v>
      </c>
      <c r="O170" s="379" t="s">
        <v>332</v>
      </c>
    </row>
    <row r="171" spans="1:42" x14ac:dyDescent="0.25">
      <c r="C171" s="256">
        <f>'2_Fluorados'!G12</f>
        <v>0</v>
      </c>
      <c r="D171" s="257" t="s">
        <v>333</v>
      </c>
      <c r="E171" s="257" t="s">
        <v>334</v>
      </c>
      <c r="F171" s="257" t="str">
        <f t="shared" ref="F171:F214" si="40">D171</f>
        <v>CH2F3</v>
      </c>
      <c r="G171" s="263">
        <v>14800</v>
      </c>
      <c r="H171" s="264" t="e">
        <f t="shared" ref="H171:H192" si="41">VLOOKUP(C171,$E$171:$G$215,2,0)</f>
        <v>#N/A</v>
      </c>
      <c r="I171" s="264" t="e">
        <f t="shared" ref="I171:I192" si="42">VLOOKUP(C171,$E$171:$G$215,3,0)</f>
        <v>#N/A</v>
      </c>
      <c r="K171" s="257" t="e">
        <f t="shared" ref="K171:K192" si="43">VLOOKUP(C171,$E$171:$F$215,2,0)</f>
        <v>#N/A</v>
      </c>
      <c r="L171" s="257" t="b">
        <f t="shared" ref="L171:L192" si="44">ISNONTEXT(K171)</f>
        <v>1</v>
      </c>
      <c r="M171" s="265" t="str">
        <f t="shared" ref="M171:M192" si="45">IF(L171=0,K171,"")</f>
        <v/>
      </c>
      <c r="O171" s="248">
        <f>'2_Fluorados'!Q16</f>
        <v>0</v>
      </c>
    </row>
    <row r="172" spans="1:42" x14ac:dyDescent="0.25">
      <c r="C172" s="256">
        <f>'2_Fluorados'!G13</f>
        <v>0</v>
      </c>
      <c r="D172" s="257" t="s">
        <v>335</v>
      </c>
      <c r="E172" s="257" t="s">
        <v>336</v>
      </c>
      <c r="F172" s="257" t="str">
        <f t="shared" si="40"/>
        <v>CH2F2</v>
      </c>
      <c r="G172" s="263">
        <v>675</v>
      </c>
      <c r="H172" s="264" t="e">
        <f t="shared" si="41"/>
        <v>#N/A</v>
      </c>
      <c r="I172" s="264" t="e">
        <f t="shared" si="42"/>
        <v>#N/A</v>
      </c>
      <c r="K172" s="257" t="e">
        <f t="shared" si="43"/>
        <v>#N/A</v>
      </c>
      <c r="L172" s="257" t="b">
        <f t="shared" si="44"/>
        <v>1</v>
      </c>
      <c r="M172" s="265" t="str">
        <f t="shared" si="45"/>
        <v/>
      </c>
    </row>
    <row r="173" spans="1:42" x14ac:dyDescent="0.25">
      <c r="C173" s="256">
        <f>'2_Fluorados'!G14</f>
        <v>0</v>
      </c>
      <c r="D173" s="257" t="s">
        <v>337</v>
      </c>
      <c r="E173" s="257" t="s">
        <v>338</v>
      </c>
      <c r="F173" s="257" t="str">
        <f t="shared" si="40"/>
        <v>CH3F</v>
      </c>
      <c r="G173" s="263">
        <v>92</v>
      </c>
      <c r="H173" s="264" t="e">
        <f t="shared" si="41"/>
        <v>#N/A</v>
      </c>
      <c r="I173" s="264" t="e">
        <f t="shared" si="42"/>
        <v>#N/A</v>
      </c>
      <c r="K173" s="257" t="e">
        <f t="shared" si="43"/>
        <v>#N/A</v>
      </c>
      <c r="L173" s="257" t="b">
        <f t="shared" si="44"/>
        <v>1</v>
      </c>
      <c r="M173" s="265" t="str">
        <f t="shared" si="45"/>
        <v/>
      </c>
    </row>
    <row r="174" spans="1:42" x14ac:dyDescent="0.25">
      <c r="C174" s="256">
        <f>'2_Fluorados'!G15</f>
        <v>0</v>
      </c>
      <c r="D174" s="257" t="s">
        <v>339</v>
      </c>
      <c r="E174" s="257" t="s">
        <v>100</v>
      </c>
      <c r="F174" s="257" t="str">
        <f t="shared" si="40"/>
        <v>C2HF5</v>
      </c>
      <c r="G174" s="263">
        <v>3500</v>
      </c>
      <c r="H174" s="264" t="e">
        <f t="shared" si="41"/>
        <v>#N/A</v>
      </c>
      <c r="I174" s="264" t="e">
        <f t="shared" si="42"/>
        <v>#N/A</v>
      </c>
      <c r="K174" s="257" t="e">
        <f t="shared" si="43"/>
        <v>#N/A</v>
      </c>
      <c r="L174" s="257" t="b">
        <f t="shared" si="44"/>
        <v>1</v>
      </c>
      <c r="M174" s="265" t="str">
        <f t="shared" si="45"/>
        <v/>
      </c>
    </row>
    <row r="175" spans="1:42" x14ac:dyDescent="0.25">
      <c r="C175" s="256">
        <f>'2_Fluorados'!G16</f>
        <v>0</v>
      </c>
      <c r="D175" s="257" t="s">
        <v>340</v>
      </c>
      <c r="E175" s="257" t="s">
        <v>341</v>
      </c>
      <c r="F175" s="257" t="str">
        <f t="shared" si="40"/>
        <v>C2H2F4</v>
      </c>
      <c r="G175" s="263">
        <v>1100</v>
      </c>
      <c r="H175" s="264" t="e">
        <f t="shared" si="41"/>
        <v>#N/A</v>
      </c>
      <c r="I175" s="264" t="e">
        <f t="shared" si="42"/>
        <v>#N/A</v>
      </c>
      <c r="K175" s="257" t="e">
        <f t="shared" si="43"/>
        <v>#N/A</v>
      </c>
      <c r="L175" s="257" t="b">
        <f t="shared" si="44"/>
        <v>1</v>
      </c>
      <c r="M175" s="265" t="str">
        <f t="shared" si="45"/>
        <v/>
      </c>
    </row>
    <row r="176" spans="1:42" x14ac:dyDescent="0.25">
      <c r="C176" s="256">
        <f>'2_Fluorados'!G17</f>
        <v>0</v>
      </c>
      <c r="D176" s="257" t="s">
        <v>342</v>
      </c>
      <c r="E176" s="257" t="s">
        <v>101</v>
      </c>
      <c r="F176" s="257" t="str">
        <f t="shared" si="40"/>
        <v>CH2FCF3</v>
      </c>
      <c r="G176" s="263">
        <v>1430</v>
      </c>
      <c r="H176" s="264" t="e">
        <f t="shared" si="41"/>
        <v>#N/A</v>
      </c>
      <c r="I176" s="264" t="e">
        <f t="shared" si="42"/>
        <v>#N/A</v>
      </c>
      <c r="K176" s="257" t="e">
        <f t="shared" si="43"/>
        <v>#N/A</v>
      </c>
      <c r="L176" s="257" t="b">
        <f t="shared" si="44"/>
        <v>1</v>
      </c>
      <c r="M176" s="265" t="str">
        <f t="shared" si="45"/>
        <v/>
      </c>
    </row>
    <row r="177" spans="3:13" x14ac:dyDescent="0.25">
      <c r="C177" s="256">
        <f>'2_Fluorados'!G18</f>
        <v>0</v>
      </c>
      <c r="D177" s="257" t="s">
        <v>343</v>
      </c>
      <c r="E177" s="257" t="s">
        <v>344</v>
      </c>
      <c r="F177" s="257" t="str">
        <f t="shared" si="40"/>
        <v>C2H3F3.</v>
      </c>
      <c r="G177" s="263">
        <v>353</v>
      </c>
      <c r="H177" s="264" t="e">
        <f t="shared" si="41"/>
        <v>#N/A</v>
      </c>
      <c r="I177" s="264" t="e">
        <f t="shared" si="42"/>
        <v>#N/A</v>
      </c>
      <c r="K177" s="257" t="e">
        <f t="shared" si="43"/>
        <v>#N/A</v>
      </c>
      <c r="L177" s="257" t="b">
        <f t="shared" si="44"/>
        <v>1</v>
      </c>
      <c r="M177" s="265" t="str">
        <f t="shared" si="45"/>
        <v/>
      </c>
    </row>
    <row r="178" spans="3:13" x14ac:dyDescent="0.25">
      <c r="C178" s="256">
        <f>'2_Fluorados'!G19</f>
        <v>0</v>
      </c>
      <c r="D178" s="257" t="s">
        <v>345</v>
      </c>
      <c r="E178" s="257" t="s">
        <v>346</v>
      </c>
      <c r="F178" s="257" t="str">
        <f t="shared" si="40"/>
        <v>C2H3F3</v>
      </c>
      <c r="G178" s="263">
        <v>4470</v>
      </c>
      <c r="H178" s="264" t="e">
        <f t="shared" si="41"/>
        <v>#N/A</v>
      </c>
      <c r="I178" s="264" t="e">
        <f t="shared" si="42"/>
        <v>#N/A</v>
      </c>
      <c r="K178" s="257" t="e">
        <f t="shared" si="43"/>
        <v>#N/A</v>
      </c>
      <c r="L178" s="257" t="b">
        <f t="shared" si="44"/>
        <v>1</v>
      </c>
      <c r="M178" s="265" t="str">
        <f t="shared" si="45"/>
        <v/>
      </c>
    </row>
    <row r="179" spans="3:13" x14ac:dyDescent="0.25">
      <c r="C179" s="256">
        <f>'2_Fluorados'!G20</f>
        <v>0</v>
      </c>
      <c r="D179" s="257" t="s">
        <v>347</v>
      </c>
      <c r="E179" s="257" t="s">
        <v>348</v>
      </c>
      <c r="F179" s="257" t="str">
        <f t="shared" si="40"/>
        <v>CH2FCH2F</v>
      </c>
      <c r="G179" s="263">
        <v>53</v>
      </c>
      <c r="H179" s="264" t="e">
        <f t="shared" si="41"/>
        <v>#N/A</v>
      </c>
      <c r="I179" s="264" t="e">
        <f t="shared" si="42"/>
        <v>#N/A</v>
      </c>
      <c r="K179" s="257" t="e">
        <f t="shared" si="43"/>
        <v>#N/A</v>
      </c>
      <c r="L179" s="257" t="b">
        <f t="shared" si="44"/>
        <v>1</v>
      </c>
      <c r="M179" s="265" t="str">
        <f t="shared" si="45"/>
        <v/>
      </c>
    </row>
    <row r="180" spans="3:13" x14ac:dyDescent="0.25">
      <c r="C180" s="256">
        <f>'2_Fluorados'!G21</f>
        <v>0</v>
      </c>
      <c r="D180" s="257" t="s">
        <v>349</v>
      </c>
      <c r="E180" s="257" t="s">
        <v>350</v>
      </c>
      <c r="F180" s="257" t="str">
        <f t="shared" si="40"/>
        <v>C2H4F2</v>
      </c>
      <c r="G180" s="263">
        <v>124</v>
      </c>
      <c r="H180" s="264" t="e">
        <f t="shared" si="41"/>
        <v>#N/A</v>
      </c>
      <c r="I180" s="264" t="e">
        <f t="shared" si="42"/>
        <v>#N/A</v>
      </c>
      <c r="K180" s="257" t="e">
        <f t="shared" si="43"/>
        <v>#N/A</v>
      </c>
      <c r="L180" s="257" t="b">
        <f t="shared" si="44"/>
        <v>1</v>
      </c>
      <c r="M180" s="265" t="str">
        <f t="shared" si="45"/>
        <v/>
      </c>
    </row>
    <row r="181" spans="3:13" x14ac:dyDescent="0.25">
      <c r="C181" s="256">
        <f>'2_Fluorados'!G22</f>
        <v>0</v>
      </c>
      <c r="D181" s="257" t="s">
        <v>351</v>
      </c>
      <c r="E181" s="257" t="s">
        <v>352</v>
      </c>
      <c r="F181" s="257" t="str">
        <f t="shared" si="40"/>
        <v>C2H2F</v>
      </c>
      <c r="G181" s="263">
        <v>12</v>
      </c>
      <c r="H181" s="264" t="e">
        <f t="shared" si="41"/>
        <v>#N/A</v>
      </c>
      <c r="I181" s="264" t="e">
        <f t="shared" si="42"/>
        <v>#N/A</v>
      </c>
      <c r="K181" s="257" t="e">
        <f t="shared" si="43"/>
        <v>#N/A</v>
      </c>
      <c r="L181" s="257" t="b">
        <f t="shared" si="44"/>
        <v>1</v>
      </c>
      <c r="M181" s="265" t="str">
        <f t="shared" si="45"/>
        <v/>
      </c>
    </row>
    <row r="182" spans="3:13" x14ac:dyDescent="0.25">
      <c r="C182" s="256">
        <f>'2_Fluorados'!G23</f>
        <v>0</v>
      </c>
      <c r="D182" s="257" t="s">
        <v>353</v>
      </c>
      <c r="E182" s="257" t="s">
        <v>354</v>
      </c>
      <c r="F182" s="257" t="str">
        <f t="shared" si="40"/>
        <v>C3HF7</v>
      </c>
      <c r="G182" s="263">
        <v>3220</v>
      </c>
      <c r="H182" s="264" t="e">
        <f t="shared" si="41"/>
        <v>#N/A</v>
      </c>
      <c r="I182" s="264" t="e">
        <f t="shared" si="42"/>
        <v>#N/A</v>
      </c>
      <c r="K182" s="257" t="e">
        <f t="shared" si="43"/>
        <v>#N/A</v>
      </c>
      <c r="L182" s="257" t="b">
        <f t="shared" si="44"/>
        <v>1</v>
      </c>
      <c r="M182" s="265" t="str">
        <f t="shared" si="45"/>
        <v/>
      </c>
    </row>
    <row r="183" spans="3:13" x14ac:dyDescent="0.25">
      <c r="C183" s="256">
        <f>'2_Fluorados'!G24</f>
        <v>0</v>
      </c>
      <c r="D183" s="257" t="s">
        <v>355</v>
      </c>
      <c r="E183" s="257" t="s">
        <v>356</v>
      </c>
      <c r="F183" s="257" t="str">
        <f t="shared" si="40"/>
        <v>CH2FCF2CF3</v>
      </c>
      <c r="G183" s="263">
        <v>1340</v>
      </c>
      <c r="H183" s="264" t="e">
        <f t="shared" si="41"/>
        <v>#N/A</v>
      </c>
      <c r="I183" s="264" t="e">
        <f t="shared" si="42"/>
        <v>#N/A</v>
      </c>
      <c r="K183" s="257" t="e">
        <f t="shared" si="43"/>
        <v>#N/A</v>
      </c>
      <c r="L183" s="257" t="b">
        <f t="shared" si="44"/>
        <v>1</v>
      </c>
      <c r="M183" s="265" t="str">
        <f t="shared" si="45"/>
        <v/>
      </c>
    </row>
    <row r="184" spans="3:13" x14ac:dyDescent="0.25">
      <c r="C184" s="256">
        <f>'2_Fluorados'!G25</f>
        <v>0</v>
      </c>
      <c r="D184" s="257" t="s">
        <v>357</v>
      </c>
      <c r="E184" s="257" t="s">
        <v>358</v>
      </c>
      <c r="F184" s="257" t="str">
        <f t="shared" si="40"/>
        <v>CHF2CHFCF3</v>
      </c>
      <c r="G184" s="263">
        <v>1370</v>
      </c>
      <c r="H184" s="264" t="e">
        <f t="shared" si="41"/>
        <v>#N/A</v>
      </c>
      <c r="I184" s="264" t="e">
        <f t="shared" si="42"/>
        <v>#N/A</v>
      </c>
      <c r="K184" s="257" t="e">
        <f t="shared" si="43"/>
        <v>#N/A</v>
      </c>
      <c r="L184" s="257" t="b">
        <f t="shared" si="44"/>
        <v>1</v>
      </c>
      <c r="M184" s="265" t="str">
        <f t="shared" si="45"/>
        <v/>
      </c>
    </row>
    <row r="185" spans="3:13" x14ac:dyDescent="0.25">
      <c r="C185" s="256">
        <f>'2_Fluorados'!G26</f>
        <v>0</v>
      </c>
      <c r="D185" s="257" t="s">
        <v>359</v>
      </c>
      <c r="E185" s="257" t="s">
        <v>360</v>
      </c>
      <c r="F185" s="257" t="str">
        <f t="shared" si="40"/>
        <v>C3H2F6</v>
      </c>
      <c r="G185" s="263">
        <v>9810</v>
      </c>
      <c r="H185" s="264" t="e">
        <f t="shared" si="41"/>
        <v>#N/A</v>
      </c>
      <c r="I185" s="264" t="e">
        <f t="shared" si="42"/>
        <v>#N/A</v>
      </c>
      <c r="K185" s="257" t="e">
        <f t="shared" si="43"/>
        <v>#N/A</v>
      </c>
      <c r="L185" s="257" t="b">
        <f t="shared" si="44"/>
        <v>1</v>
      </c>
      <c r="M185" s="265" t="str">
        <f t="shared" si="45"/>
        <v/>
      </c>
    </row>
    <row r="186" spans="3:13" x14ac:dyDescent="0.25">
      <c r="C186" s="256">
        <f>'2_Fluorados'!G27</f>
        <v>0</v>
      </c>
      <c r="D186" s="257" t="s">
        <v>361</v>
      </c>
      <c r="E186" s="257" t="s">
        <v>362</v>
      </c>
      <c r="F186" s="257" t="str">
        <f t="shared" si="40"/>
        <v>C3H3F5</v>
      </c>
      <c r="G186" s="263">
        <v>693</v>
      </c>
      <c r="H186" s="264" t="e">
        <f t="shared" si="41"/>
        <v>#N/A</v>
      </c>
      <c r="I186" s="264" t="e">
        <f t="shared" si="42"/>
        <v>#N/A</v>
      </c>
      <c r="K186" s="257" t="e">
        <f t="shared" si="43"/>
        <v>#N/A</v>
      </c>
      <c r="L186" s="257" t="b">
        <f t="shared" si="44"/>
        <v>1</v>
      </c>
      <c r="M186" s="265" t="str">
        <f t="shared" si="45"/>
        <v/>
      </c>
    </row>
    <row r="187" spans="3:13" x14ac:dyDescent="0.25">
      <c r="C187" s="256">
        <f>'2_Fluorados'!G28</f>
        <v>0</v>
      </c>
      <c r="D187" s="257" t="s">
        <v>361</v>
      </c>
      <c r="E187" s="257" t="s">
        <v>363</v>
      </c>
      <c r="F187" s="257" t="str">
        <f t="shared" si="40"/>
        <v>C3H3F5</v>
      </c>
      <c r="G187" s="263">
        <v>1030</v>
      </c>
      <c r="H187" s="264" t="e">
        <f t="shared" si="41"/>
        <v>#N/A</v>
      </c>
      <c r="I187" s="264" t="e">
        <f t="shared" si="42"/>
        <v>#N/A</v>
      </c>
      <c r="K187" s="257" t="e">
        <f t="shared" si="43"/>
        <v>#N/A</v>
      </c>
      <c r="L187" s="257" t="b">
        <f t="shared" si="44"/>
        <v>1</v>
      </c>
      <c r="M187" s="265" t="str">
        <f t="shared" si="45"/>
        <v/>
      </c>
    </row>
    <row r="188" spans="3:13" x14ac:dyDescent="0.25">
      <c r="C188" s="256">
        <f>'2_Fluorados'!G29</f>
        <v>0</v>
      </c>
      <c r="D188" s="257" t="s">
        <v>364</v>
      </c>
      <c r="E188" s="257" t="s">
        <v>365</v>
      </c>
      <c r="F188" s="257" t="str">
        <f t="shared" si="40"/>
        <v>C4H5F5</v>
      </c>
      <c r="G188" s="263">
        <v>794</v>
      </c>
      <c r="H188" s="264" t="e">
        <f t="shared" si="41"/>
        <v>#N/A</v>
      </c>
      <c r="I188" s="264" t="e">
        <f t="shared" si="42"/>
        <v>#N/A</v>
      </c>
      <c r="K188" s="257" t="e">
        <f t="shared" si="43"/>
        <v>#N/A</v>
      </c>
      <c r="L188" s="257" t="b">
        <f t="shared" si="44"/>
        <v>1</v>
      </c>
      <c r="M188" s="265" t="str">
        <f t="shared" si="45"/>
        <v/>
      </c>
    </row>
    <row r="189" spans="3:13" x14ac:dyDescent="0.25">
      <c r="C189" s="256">
        <f>'2_Fluorados'!G30</f>
        <v>0</v>
      </c>
      <c r="D189" s="257" t="s">
        <v>366</v>
      </c>
      <c r="E189" s="257" t="s">
        <v>367</v>
      </c>
      <c r="F189" s="257" t="str">
        <f t="shared" si="40"/>
        <v>C5H2F10</v>
      </c>
      <c r="G189" s="263">
        <v>1640</v>
      </c>
      <c r="H189" s="264" t="e">
        <f t="shared" si="41"/>
        <v>#N/A</v>
      </c>
      <c r="I189" s="264" t="e">
        <f t="shared" si="42"/>
        <v>#N/A</v>
      </c>
      <c r="K189" s="257" t="e">
        <f t="shared" si="43"/>
        <v>#N/A</v>
      </c>
      <c r="L189" s="257" t="b">
        <f t="shared" si="44"/>
        <v>1</v>
      </c>
      <c r="M189" s="265" t="str">
        <f t="shared" si="45"/>
        <v/>
      </c>
    </row>
    <row r="190" spans="3:13" x14ac:dyDescent="0.25">
      <c r="C190" s="256">
        <f>'2_Fluorados'!G31</f>
        <v>0</v>
      </c>
      <c r="D190" s="266" t="s">
        <v>368</v>
      </c>
      <c r="E190" s="266" t="s">
        <v>368</v>
      </c>
      <c r="F190" s="266" t="str">
        <f t="shared" si="40"/>
        <v>SF6</v>
      </c>
      <c r="G190" s="267">
        <v>22800</v>
      </c>
      <c r="H190" s="264" t="e">
        <f t="shared" si="41"/>
        <v>#N/A</v>
      </c>
      <c r="I190" s="264" t="e">
        <f t="shared" si="42"/>
        <v>#N/A</v>
      </c>
      <c r="K190" s="257" t="e">
        <f t="shared" si="43"/>
        <v>#N/A</v>
      </c>
      <c r="L190" s="257" t="b">
        <f t="shared" si="44"/>
        <v>1</v>
      </c>
      <c r="M190" s="265" t="str">
        <f t="shared" si="45"/>
        <v/>
      </c>
    </row>
    <row r="191" spans="3:13" x14ac:dyDescent="0.25">
      <c r="C191" s="256">
        <f>'2_Fluorados'!G32</f>
        <v>0</v>
      </c>
      <c r="D191" s="257" t="s">
        <v>369</v>
      </c>
      <c r="E191" s="257" t="s">
        <v>370</v>
      </c>
      <c r="F191" s="257" t="str">
        <f t="shared" si="40"/>
        <v>R-125/143a/134a (44/52/4)</v>
      </c>
      <c r="G191" s="263">
        <v>3922</v>
      </c>
      <c r="H191" s="264" t="e">
        <f t="shared" si="41"/>
        <v>#N/A</v>
      </c>
      <c r="I191" s="264" t="e">
        <f t="shared" si="42"/>
        <v>#N/A</v>
      </c>
      <c r="K191" s="257" t="e">
        <f t="shared" si="43"/>
        <v>#N/A</v>
      </c>
      <c r="L191" s="257" t="b">
        <f t="shared" si="44"/>
        <v>1</v>
      </c>
      <c r="M191" s="265" t="str">
        <f t="shared" si="45"/>
        <v/>
      </c>
    </row>
    <row r="192" spans="3:13" x14ac:dyDescent="0.25">
      <c r="C192" s="256">
        <f>'2_Fluorados'!G33</f>
        <v>0</v>
      </c>
      <c r="D192" s="257" t="s">
        <v>371</v>
      </c>
      <c r="E192" s="257" t="s">
        <v>372</v>
      </c>
      <c r="F192" s="257" t="str">
        <f t="shared" si="40"/>
        <v>R-32/125/134a (20/40/40)</v>
      </c>
      <c r="G192" s="263">
        <v>2107</v>
      </c>
      <c r="H192" s="264" t="e">
        <f t="shared" si="41"/>
        <v>#N/A</v>
      </c>
      <c r="I192" s="264" t="e">
        <f t="shared" si="42"/>
        <v>#N/A</v>
      </c>
      <c r="K192" s="257" t="e">
        <f t="shared" si="43"/>
        <v>#N/A</v>
      </c>
      <c r="L192" s="257" t="b">
        <f t="shared" si="44"/>
        <v>1</v>
      </c>
      <c r="M192" s="265" t="str">
        <f t="shared" si="45"/>
        <v/>
      </c>
    </row>
    <row r="193" spans="4:7" x14ac:dyDescent="0.25">
      <c r="D193" s="257" t="s">
        <v>373</v>
      </c>
      <c r="E193" s="257" t="s">
        <v>374</v>
      </c>
      <c r="F193" s="257" t="str">
        <f t="shared" si="40"/>
        <v xml:space="preserve">R-32/125/134a (10/70/20)  </v>
      </c>
      <c r="G193" s="263">
        <v>2804</v>
      </c>
    </row>
    <row r="194" spans="4:7" x14ac:dyDescent="0.25">
      <c r="D194" s="257" t="s">
        <v>375</v>
      </c>
      <c r="E194" s="257" t="s">
        <v>376</v>
      </c>
      <c r="F194" s="257" t="str">
        <f t="shared" si="40"/>
        <v>R-32/125/134a (23/25/52)</v>
      </c>
      <c r="G194" s="263">
        <v>1774</v>
      </c>
    </row>
    <row r="195" spans="4:7" x14ac:dyDescent="0.25">
      <c r="D195" s="257" t="s">
        <v>377</v>
      </c>
      <c r="E195" s="257" t="s">
        <v>378</v>
      </c>
      <c r="F195" s="257" t="str">
        <f t="shared" si="40"/>
        <v>R-32/125/134a (30/30/40)</v>
      </c>
      <c r="G195" s="263">
        <v>1825</v>
      </c>
    </row>
    <row r="196" spans="4:7" x14ac:dyDescent="0.25">
      <c r="D196" s="257" t="s">
        <v>379</v>
      </c>
      <c r="E196" s="257" t="s">
        <v>380</v>
      </c>
      <c r="F196" s="257" t="str">
        <f t="shared" si="40"/>
        <v xml:space="preserve">R-32/125 (50/50) </v>
      </c>
      <c r="G196" s="263">
        <v>2088</v>
      </c>
    </row>
    <row r="197" spans="4:7" x14ac:dyDescent="0.25">
      <c r="D197" s="257" t="s">
        <v>381</v>
      </c>
      <c r="E197" s="257" t="s">
        <v>382</v>
      </c>
      <c r="F197" s="257" t="str">
        <f t="shared" si="40"/>
        <v xml:space="preserve">R-32/125 (45/55) </v>
      </c>
      <c r="G197" s="263">
        <v>2229</v>
      </c>
    </row>
    <row r="198" spans="4:7" x14ac:dyDescent="0.25">
      <c r="D198" s="257" t="s">
        <v>383</v>
      </c>
      <c r="E198" s="257" t="s">
        <v>384</v>
      </c>
      <c r="F198" s="257" t="str">
        <f t="shared" si="40"/>
        <v>R-218/134a/600a (9/88/3)</v>
      </c>
      <c r="G198" s="263">
        <v>2053</v>
      </c>
    </row>
    <row r="199" spans="4:7" x14ac:dyDescent="0.25">
      <c r="D199" s="257" t="s">
        <v>385</v>
      </c>
      <c r="E199" s="257" t="s">
        <v>386</v>
      </c>
      <c r="F199" s="257" t="str">
        <f t="shared" si="40"/>
        <v>R-125/134a/600 (46,6/50/3,4)</v>
      </c>
      <c r="G199" s="263">
        <v>2346</v>
      </c>
    </row>
    <row r="200" spans="4:7" x14ac:dyDescent="0.25">
      <c r="D200" s="257" t="s">
        <v>387</v>
      </c>
      <c r="E200" s="257" t="s">
        <v>388</v>
      </c>
      <c r="F200" s="257" t="str">
        <f t="shared" si="40"/>
        <v>R-125/134a/600 (79/18,25/2,75)</v>
      </c>
      <c r="G200" s="263">
        <v>3026</v>
      </c>
    </row>
    <row r="201" spans="4:7" x14ac:dyDescent="0.25">
      <c r="D201" s="257" t="s">
        <v>389</v>
      </c>
      <c r="E201" s="257" t="s">
        <v>390</v>
      </c>
      <c r="F201" s="257" t="str">
        <f t="shared" si="40"/>
        <v>R-125/134a/600a (85,1/11,5/3,4)</v>
      </c>
      <c r="G201" s="263">
        <v>3143</v>
      </c>
    </row>
    <row r="202" spans="4:7" x14ac:dyDescent="0.25">
      <c r="D202" s="257" t="s">
        <v>391</v>
      </c>
      <c r="E202" s="257" t="s">
        <v>392</v>
      </c>
      <c r="F202" s="257" t="str">
        <f t="shared" si="40"/>
        <v>R-125/134a/600a (65,1/31,5/3,4)</v>
      </c>
      <c r="G202" s="263">
        <v>2729</v>
      </c>
    </row>
    <row r="203" spans="4:7" x14ac:dyDescent="0.25">
      <c r="D203" s="257" t="s">
        <v>393</v>
      </c>
      <c r="E203" s="257" t="s">
        <v>394</v>
      </c>
      <c r="F203" s="257" t="str">
        <f t="shared" si="40"/>
        <v>R-125/134a/600a/600/601a (50,5/47/0,9/1/0)</v>
      </c>
      <c r="G203" s="263">
        <v>2440</v>
      </c>
    </row>
    <row r="204" spans="4:7" x14ac:dyDescent="0.25">
      <c r="D204" s="257" t="s">
        <v>395</v>
      </c>
      <c r="E204" s="257" t="s">
        <v>396</v>
      </c>
      <c r="F204" s="257" t="str">
        <f t="shared" si="40"/>
        <v>R-134a/125/600/601a (93/5,1/1,3/0,6)</v>
      </c>
      <c r="G204" s="263">
        <v>1508</v>
      </c>
    </row>
    <row r="205" spans="4:7" x14ac:dyDescent="0.25">
      <c r="D205" s="257" t="s">
        <v>397</v>
      </c>
      <c r="E205" s="257" t="s">
        <v>398</v>
      </c>
      <c r="F205" s="257" t="str">
        <f t="shared" si="40"/>
        <v>R-32/125/143a/134a (15/25/10/50)</v>
      </c>
      <c r="G205" s="263">
        <v>2138</v>
      </c>
    </row>
    <row r="206" spans="4:7" x14ac:dyDescent="0.25">
      <c r="D206" s="257" t="s">
        <v>399</v>
      </c>
      <c r="E206" s="257" t="s">
        <v>400</v>
      </c>
      <c r="F206" s="257" t="str">
        <f t="shared" si="40"/>
        <v xml:space="preserve">R-125/143a/600a/290 (77,5/20/1,9/06)              </v>
      </c>
      <c r="G206" s="263">
        <v>3607</v>
      </c>
    </row>
    <row r="207" spans="4:7" x14ac:dyDescent="0.25">
      <c r="D207" s="257" t="s">
        <v>401</v>
      </c>
      <c r="E207" s="257" t="s">
        <v>402</v>
      </c>
      <c r="F207" s="257" t="str">
        <f t="shared" si="40"/>
        <v>R-125/143a/134a/600a (63,2/18/16/2,8)</v>
      </c>
      <c r="G207" s="263">
        <v>3245</v>
      </c>
    </row>
    <row r="208" spans="4:7" x14ac:dyDescent="0.25">
      <c r="D208" s="257" t="s">
        <v>403</v>
      </c>
      <c r="E208" s="257" t="s">
        <v>404</v>
      </c>
      <c r="F208" s="257" t="str">
        <f t="shared" si="40"/>
        <v>R-125/134a/600/601 (19,5/78,5/1,4/06)</v>
      </c>
      <c r="G208" s="263">
        <v>1805</v>
      </c>
    </row>
    <row r="209" spans="1:34" x14ac:dyDescent="0.25">
      <c r="D209" s="257" t="s">
        <v>405</v>
      </c>
      <c r="E209" s="257" t="s">
        <v>406</v>
      </c>
      <c r="F209" s="257" t="str">
        <f t="shared" si="40"/>
        <v>R-32/125/134a/600/601a (8,5/45/44,2/1,7/0,6)</v>
      </c>
      <c r="G209" s="263">
        <v>2264</v>
      </c>
    </row>
    <row r="210" spans="1:34" x14ac:dyDescent="0.25">
      <c r="D210" s="257" t="s">
        <v>407</v>
      </c>
      <c r="E210" s="257" t="s">
        <v>408</v>
      </c>
      <c r="F210" s="257" t="str">
        <f t="shared" si="40"/>
        <v>R-32/125/134a/152a/227ea (31/31/30/3/5)</v>
      </c>
      <c r="G210" s="263">
        <v>1888</v>
      </c>
    </row>
    <row r="211" spans="1:34" x14ac:dyDescent="0.25">
      <c r="D211" s="257" t="s">
        <v>409</v>
      </c>
      <c r="E211" s="257" t="s">
        <v>410</v>
      </c>
      <c r="F211" s="257" t="str">
        <f t="shared" si="40"/>
        <v>R-32/R-125/HFO-1234yf/R-134a (24,3/24,7/25,3/25,7)</v>
      </c>
      <c r="G211" s="263">
        <v>1396</v>
      </c>
    </row>
    <row r="212" spans="1:34" x14ac:dyDescent="0.25">
      <c r="D212" s="257" t="s">
        <v>411</v>
      </c>
      <c r="E212" s="257" t="s">
        <v>412</v>
      </c>
      <c r="F212" s="257" t="str">
        <f t="shared" si="40"/>
        <v>R-125/R-32/HFO-1234yf (59/11/30)</v>
      </c>
      <c r="G212" s="263">
        <v>2140</v>
      </c>
    </row>
    <row r="213" spans="1:34" x14ac:dyDescent="0.25">
      <c r="D213" s="257" t="s">
        <v>413</v>
      </c>
      <c r="E213" s="257" t="s">
        <v>414</v>
      </c>
      <c r="F213" s="257" t="str">
        <f t="shared" si="40"/>
        <v>R-134a/125/32/227ea/600/601a (53,8/20/20/5/0,6/0,6)</v>
      </c>
      <c r="G213" s="263">
        <v>1765</v>
      </c>
    </row>
    <row r="214" spans="1:34" x14ac:dyDescent="0.25">
      <c r="D214" s="257" t="s">
        <v>415</v>
      </c>
      <c r="E214" s="257" t="s">
        <v>416</v>
      </c>
      <c r="F214" s="257" t="str">
        <f t="shared" si="40"/>
        <v>R-125/143a (50/50)</v>
      </c>
      <c r="G214" s="263">
        <v>3985</v>
      </c>
    </row>
    <row r="215" spans="1:34" x14ac:dyDescent="0.25">
      <c r="D215" s="257" t="s">
        <v>84</v>
      </c>
      <c r="E215" s="257" t="s">
        <v>84</v>
      </c>
      <c r="F215" s="257" t="s">
        <v>280</v>
      </c>
      <c r="G215" s="263" t="s">
        <v>280</v>
      </c>
    </row>
    <row r="217" spans="1:34" x14ac:dyDescent="0.25">
      <c r="A217" s="210" t="s">
        <v>417</v>
      </c>
    </row>
    <row r="218" spans="1:34" x14ac:dyDescent="0.25">
      <c r="A218" s="210"/>
      <c r="I218" s="224"/>
      <c r="J218" s="224"/>
    </row>
    <row r="219" spans="1:34" x14ac:dyDescent="0.25">
      <c r="A219" s="210"/>
      <c r="C219" s="265" t="s">
        <v>418</v>
      </c>
      <c r="D219" s="265">
        <v>1</v>
      </c>
      <c r="J219" s="224"/>
      <c r="K219" s="224"/>
    </row>
    <row r="220" spans="1:34" x14ac:dyDescent="0.25">
      <c r="A220" s="210"/>
      <c r="C220" s="265" t="s">
        <v>419</v>
      </c>
      <c r="D220" s="265">
        <v>2</v>
      </c>
      <c r="J220" s="224"/>
      <c r="K220" s="224"/>
    </row>
    <row r="221" spans="1:34" ht="27" customHeight="1" x14ac:dyDescent="0.4">
      <c r="A221" s="210"/>
      <c r="B221" t="s">
        <v>420</v>
      </c>
      <c r="E221" s="268" t="s">
        <v>421</v>
      </c>
      <c r="J221" s="221" t="s">
        <v>250</v>
      </c>
      <c r="K221" s="221"/>
      <c r="L221" s="221"/>
      <c r="AH221" s="269"/>
    </row>
    <row r="222" spans="1:34" s="217" customFormat="1" ht="48" x14ac:dyDescent="0.2">
      <c r="C222" s="237" t="s">
        <v>422</v>
      </c>
      <c r="D222" s="237" t="s">
        <v>423</v>
      </c>
      <c r="E222" s="239" t="s">
        <v>318</v>
      </c>
      <c r="F222" s="237" t="s">
        <v>424</v>
      </c>
      <c r="G222" s="237" t="s">
        <v>425</v>
      </c>
      <c r="I222" s="270" t="s">
        <v>426</v>
      </c>
      <c r="J222" s="271" t="s">
        <v>427</v>
      </c>
      <c r="K222" s="271" t="s">
        <v>428</v>
      </c>
      <c r="L222" s="271" t="s">
        <v>429</v>
      </c>
      <c r="M222" s="271" t="s">
        <v>430</v>
      </c>
      <c r="N222" s="271" t="s">
        <v>431</v>
      </c>
      <c r="O222" s="271" t="s">
        <v>432</v>
      </c>
      <c r="P222" s="271" t="s">
        <v>433</v>
      </c>
      <c r="Q222" s="271" t="s">
        <v>434</v>
      </c>
      <c r="R222" s="271" t="s">
        <v>435</v>
      </c>
      <c r="S222" s="271" t="s">
        <v>436</v>
      </c>
      <c r="T222" s="271" t="s">
        <v>437</v>
      </c>
      <c r="U222" s="271" t="s">
        <v>438</v>
      </c>
      <c r="V222" s="271" t="s">
        <v>439</v>
      </c>
      <c r="W222" s="271" t="s">
        <v>440</v>
      </c>
      <c r="X222" s="271" t="s">
        <v>441</v>
      </c>
      <c r="Y222" s="271" t="s">
        <v>442</v>
      </c>
      <c r="Z222" s="271" t="s">
        <v>443</v>
      </c>
      <c r="AA222" s="271" t="s">
        <v>444</v>
      </c>
      <c r="AB222" s="272" t="s">
        <v>445</v>
      </c>
      <c r="AC222" s="272" t="s">
        <v>446</v>
      </c>
      <c r="AE222" s="273" t="s">
        <v>447</v>
      </c>
      <c r="AF222" s="273" t="s">
        <v>448</v>
      </c>
    </row>
    <row r="223" spans="1:34" ht="18.75" customHeight="1" x14ac:dyDescent="0.3">
      <c r="C223" s="274">
        <f>'4.2_Electricidad España'!F20</f>
        <v>0</v>
      </c>
      <c r="D223" s="274">
        <f>'4.2_Electricidad España'!G20</f>
        <v>0</v>
      </c>
      <c r="E223" s="275" t="e">
        <f t="shared" ref="E223:E244" ca="1" si="46">IF(D223=$C$248,$D$248,IF(D223=$C$249,$D$249,VLOOKUP(C223,$AE$223:$AF$467,2,0)))</f>
        <v>#N/A</v>
      </c>
      <c r="F223" s="274" t="str">
        <f>IF(ISNUMBER('4.2_Electricidad España'!H20),('4.2_Electricidad España'!H20*'4.2_Electricidad España'!I20),"")</f>
        <v/>
      </c>
      <c r="G223" s="265">
        <f t="shared" ref="G223:G244" si="47">IF(OR(C223="Varias comercializadoras",C223="Otras"),1,2)</f>
        <v>2</v>
      </c>
      <c r="I223" s="276" t="s">
        <v>449</v>
      </c>
      <c r="J223" s="277" t="s">
        <v>450</v>
      </c>
      <c r="K223" s="278">
        <v>0</v>
      </c>
      <c r="L223" s="277" t="s">
        <v>450</v>
      </c>
      <c r="M223" s="278">
        <v>0</v>
      </c>
      <c r="N223" s="277" t="s">
        <v>450</v>
      </c>
      <c r="O223" s="278">
        <v>0</v>
      </c>
      <c r="P223" s="277" t="s">
        <v>450</v>
      </c>
      <c r="Q223" s="279">
        <v>0</v>
      </c>
      <c r="R223" s="277" t="s">
        <v>450</v>
      </c>
      <c r="S223" s="280">
        <v>0</v>
      </c>
      <c r="T223" s="277" t="s">
        <v>450</v>
      </c>
      <c r="U223" s="280">
        <v>0</v>
      </c>
      <c r="V223" s="277" t="s">
        <v>451</v>
      </c>
      <c r="W223" s="280">
        <v>0.34000000357627902</v>
      </c>
      <c r="X223" s="277" t="s">
        <v>452</v>
      </c>
      <c r="Y223" s="280">
        <v>0</v>
      </c>
      <c r="Z223" s="277" t="s">
        <v>453</v>
      </c>
      <c r="AA223" s="280">
        <v>0</v>
      </c>
      <c r="AB223" s="281" t="s">
        <v>450</v>
      </c>
      <c r="AC223" s="282">
        <v>0</v>
      </c>
      <c r="AE223" s="274" t="str">
        <f t="shared" ref="AE223:AE286" ca="1" si="48">INDIRECT("_Com"&amp;$F$2)</f>
        <v>ACCIONA GREEN ENERGY DEVELOPMENTS, S.L.</v>
      </c>
      <c r="AF223" s="283">
        <f t="shared" ref="AF223:AF286" ca="1" si="49">INDIRECT("_Mix"&amp;$F$2)</f>
        <v>0</v>
      </c>
    </row>
    <row r="224" spans="1:34" ht="18.75" customHeight="1" x14ac:dyDescent="0.3">
      <c r="C224" s="274">
        <f>'4.2_Electricidad España'!F21</f>
        <v>0</v>
      </c>
      <c r="D224" s="274">
        <f>'4.2_Electricidad España'!G21</f>
        <v>0</v>
      </c>
      <c r="E224" s="275" t="e">
        <f t="shared" ca="1" si="46"/>
        <v>#N/A</v>
      </c>
      <c r="F224" s="274" t="str">
        <f>IF(ISNUMBER('4.2_Electricidad España'!H21),('4.2_Electricidad España'!H21*'4.2_Electricidad España'!I21),"")</f>
        <v/>
      </c>
      <c r="G224" s="265">
        <f t="shared" si="47"/>
        <v>2</v>
      </c>
      <c r="I224" s="276" t="s">
        <v>136</v>
      </c>
      <c r="J224" s="277" t="s">
        <v>454</v>
      </c>
      <c r="K224" s="278">
        <v>0.36</v>
      </c>
      <c r="L224" s="277" t="s">
        <v>455</v>
      </c>
      <c r="M224" s="278">
        <v>0.38999998569488498</v>
      </c>
      <c r="N224" s="277" t="s">
        <v>455</v>
      </c>
      <c r="O224" s="278">
        <v>0.25</v>
      </c>
      <c r="P224" s="277" t="s">
        <v>456</v>
      </c>
      <c r="Q224" s="279">
        <v>0.37000000476837203</v>
      </c>
      <c r="R224" s="277" t="s">
        <v>457</v>
      </c>
      <c r="S224" s="280">
        <v>0.40000000596046498</v>
      </c>
      <c r="T224" s="277" t="s">
        <v>453</v>
      </c>
      <c r="U224" s="280">
        <v>0</v>
      </c>
      <c r="V224" s="277" t="s">
        <v>450</v>
      </c>
      <c r="W224" s="280">
        <v>0</v>
      </c>
      <c r="X224" s="277" t="s">
        <v>450</v>
      </c>
      <c r="Y224" s="280">
        <v>0</v>
      </c>
      <c r="Z224" s="277" t="s">
        <v>450</v>
      </c>
      <c r="AA224" s="280">
        <v>0</v>
      </c>
      <c r="AB224" s="281" t="s">
        <v>453</v>
      </c>
      <c r="AC224" s="282">
        <v>0</v>
      </c>
      <c r="AE224" s="274" t="str">
        <f t="shared" ca="1" si="48"/>
        <v>ACCIÓN ENERGÍA COMERCIALIZADORA, S.L.</v>
      </c>
      <c r="AF224" s="283">
        <f t="shared" ca="1" si="49"/>
        <v>0</v>
      </c>
    </row>
    <row r="225" spans="3:32" ht="18.75" customHeight="1" x14ac:dyDescent="0.3">
      <c r="C225" s="274">
        <f>'4.2_Electricidad España'!F22</f>
        <v>0</v>
      </c>
      <c r="D225" s="274">
        <f>'4.2_Electricidad España'!G22</f>
        <v>0</v>
      </c>
      <c r="E225" s="275" t="e">
        <f t="shared" ca="1" si="46"/>
        <v>#N/A</v>
      </c>
      <c r="F225" s="274" t="str">
        <f>IF(ISNUMBER('4.2_Electricidad España'!H22),('4.2_Electricidad España'!H22*'4.2_Electricidad España'!I22),"")</f>
        <v/>
      </c>
      <c r="G225" s="265">
        <f t="shared" si="47"/>
        <v>2</v>
      </c>
      <c r="I225" s="276" t="s">
        <v>73</v>
      </c>
      <c r="J225" s="277" t="s">
        <v>455</v>
      </c>
      <c r="K225" s="278">
        <v>0.35</v>
      </c>
      <c r="L225" s="277" t="s">
        <v>458</v>
      </c>
      <c r="M225" s="278">
        <v>0.40000000596046498</v>
      </c>
      <c r="N225" s="277" t="s">
        <v>459</v>
      </c>
      <c r="O225" s="278">
        <v>2.9999999329447701E-2</v>
      </c>
      <c r="P225" s="277" t="s">
        <v>460</v>
      </c>
      <c r="Q225" s="279">
        <v>0.28999999165535001</v>
      </c>
      <c r="R225" s="277" t="s">
        <v>461</v>
      </c>
      <c r="S225" s="280">
        <v>0</v>
      </c>
      <c r="T225" s="277" t="s">
        <v>462</v>
      </c>
      <c r="U225" s="280">
        <v>0.33000001311302202</v>
      </c>
      <c r="V225" s="277" t="s">
        <v>453</v>
      </c>
      <c r="W225" s="280">
        <v>7.0000000298023196E-2</v>
      </c>
      <c r="X225" s="277" t="s">
        <v>453</v>
      </c>
      <c r="Y225" s="280">
        <v>0</v>
      </c>
      <c r="Z225" s="277" t="s">
        <v>463</v>
      </c>
      <c r="AA225" s="280">
        <v>0.28999999165535001</v>
      </c>
      <c r="AB225" s="281" t="s">
        <v>463</v>
      </c>
      <c r="AC225" s="282">
        <v>0</v>
      </c>
      <c r="AE225" s="274" t="str">
        <f t="shared" ca="1" si="48"/>
        <v>ACSOL ENERGÍA GLOBAL, S.A.</v>
      </c>
      <c r="AF225" s="283">
        <f t="shared" ca="1" si="49"/>
        <v>0</v>
      </c>
    </row>
    <row r="226" spans="3:32" ht="16.5" x14ac:dyDescent="0.3">
      <c r="C226" s="274">
        <f>'4.2_Electricidad España'!F23</f>
        <v>0</v>
      </c>
      <c r="D226" s="274">
        <f>'4.2_Electricidad España'!G23</f>
        <v>0</v>
      </c>
      <c r="E226" s="275" t="e">
        <f t="shared" ca="1" si="46"/>
        <v>#N/A</v>
      </c>
      <c r="F226" s="274" t="str">
        <f>IF(ISNUMBER('4.2_Electricidad España'!H23),('4.2_Electricidad España'!H23*'4.2_Electricidad España'!I23),"")</f>
        <v/>
      </c>
      <c r="G226" s="265">
        <f t="shared" si="47"/>
        <v>2</v>
      </c>
      <c r="I226" s="284"/>
      <c r="J226" s="277" t="s">
        <v>458</v>
      </c>
      <c r="K226" s="278">
        <v>0.36</v>
      </c>
      <c r="L226" s="277" t="s">
        <v>464</v>
      </c>
      <c r="M226" s="278">
        <v>0.31000000238418601</v>
      </c>
      <c r="N226" s="277" t="s">
        <v>465</v>
      </c>
      <c r="O226" s="278">
        <v>0</v>
      </c>
      <c r="P226" s="277" t="s">
        <v>466</v>
      </c>
      <c r="Q226" s="279">
        <v>0</v>
      </c>
      <c r="R226" s="277" t="s">
        <v>467</v>
      </c>
      <c r="S226" s="280">
        <v>0.40000000596046498</v>
      </c>
      <c r="T226" s="277" t="s">
        <v>468</v>
      </c>
      <c r="U226" s="280">
        <v>0</v>
      </c>
      <c r="V226" s="277" t="s">
        <v>463</v>
      </c>
      <c r="W226" s="280">
        <v>0.43000000715255698</v>
      </c>
      <c r="X226" s="277" t="s">
        <v>463</v>
      </c>
      <c r="Y226" s="280">
        <v>0.40999999642372098</v>
      </c>
      <c r="Z226" s="277" t="s">
        <v>462</v>
      </c>
      <c r="AA226" s="280">
        <v>0.119999997317791</v>
      </c>
      <c r="AB226" s="281" t="s">
        <v>469</v>
      </c>
      <c r="AC226" s="282">
        <v>0</v>
      </c>
      <c r="AE226" s="274" t="str">
        <f t="shared" ca="1" si="48"/>
        <v>ACTIVA COMERCIALIZADORA DE ENERGÍA SL</v>
      </c>
      <c r="AF226" s="283">
        <f t="shared" ca="1" si="49"/>
        <v>0</v>
      </c>
    </row>
    <row r="227" spans="3:32" ht="16.5" x14ac:dyDescent="0.3">
      <c r="C227" s="274">
        <f>'4.2_Electricidad España'!F24</f>
        <v>0</v>
      </c>
      <c r="D227" s="274">
        <f>'4.2_Electricidad España'!G24</f>
        <v>0</v>
      </c>
      <c r="E227" s="275" t="e">
        <f t="shared" ca="1" si="46"/>
        <v>#N/A</v>
      </c>
      <c r="F227" s="274" t="str">
        <f>IF(ISNUMBER('4.2_Electricidad España'!H24),('4.2_Electricidad España'!H24*'4.2_Electricidad España'!I24),"")</f>
        <v/>
      </c>
      <c r="G227" s="265">
        <f t="shared" si="47"/>
        <v>2</v>
      </c>
      <c r="I227" s="284"/>
      <c r="J227" s="277" t="s">
        <v>464</v>
      </c>
      <c r="K227" s="278">
        <v>0.16</v>
      </c>
      <c r="L227" s="277" t="s">
        <v>470</v>
      </c>
      <c r="M227" s="278">
        <v>0.30000001192092901</v>
      </c>
      <c r="N227" s="277" t="s">
        <v>471</v>
      </c>
      <c r="O227" s="278">
        <v>0</v>
      </c>
      <c r="P227" s="277" t="s">
        <v>459</v>
      </c>
      <c r="Q227" s="279">
        <v>0</v>
      </c>
      <c r="R227" s="277" t="s">
        <v>460</v>
      </c>
      <c r="S227" s="280">
        <v>0</v>
      </c>
      <c r="T227" s="277" t="s">
        <v>472</v>
      </c>
      <c r="U227" s="280">
        <v>0.30000001192092901</v>
      </c>
      <c r="V227" s="277" t="s">
        <v>462</v>
      </c>
      <c r="W227" s="280">
        <v>0.38999998569488498</v>
      </c>
      <c r="X227" s="277" t="s">
        <v>462</v>
      </c>
      <c r="Y227" s="280">
        <v>0.31000000238418601</v>
      </c>
      <c r="Z227" s="277" t="s">
        <v>473</v>
      </c>
      <c r="AA227" s="280">
        <v>3.9999999105930301E-2</v>
      </c>
      <c r="AB227" s="281" t="s">
        <v>462</v>
      </c>
      <c r="AC227" s="282">
        <v>0</v>
      </c>
      <c r="AE227" s="274" t="str">
        <f t="shared" ca="1" si="48"/>
        <v>ADEINNOVA ENERGÍA, S.L.U.</v>
      </c>
      <c r="AF227" s="283">
        <f t="shared" ca="1" si="49"/>
        <v>0</v>
      </c>
    </row>
    <row r="228" spans="3:32" ht="16.5" x14ac:dyDescent="0.3">
      <c r="C228" s="274">
        <f>'4.2_Electricidad España'!F25</f>
        <v>0</v>
      </c>
      <c r="D228" s="274">
        <f>'4.2_Electricidad España'!G25</f>
        <v>0</v>
      </c>
      <c r="E228" s="275" t="e">
        <f t="shared" ca="1" si="46"/>
        <v>#N/A</v>
      </c>
      <c r="F228" s="274" t="str">
        <f>IF(ISNUMBER('4.2_Electricidad España'!H25),('4.2_Electricidad España'!H25*'4.2_Electricidad España'!I25),"")</f>
        <v/>
      </c>
      <c r="G228" s="265">
        <f t="shared" si="47"/>
        <v>2</v>
      </c>
      <c r="I228" s="284"/>
      <c r="J228" s="277" t="s">
        <v>470</v>
      </c>
      <c r="K228" s="278">
        <v>0.21</v>
      </c>
      <c r="L228" s="277" t="s">
        <v>474</v>
      </c>
      <c r="M228" s="278">
        <v>0</v>
      </c>
      <c r="N228" s="277" t="s">
        <v>458</v>
      </c>
      <c r="O228" s="278">
        <v>0.34999999403953602</v>
      </c>
      <c r="P228" s="277" t="s">
        <v>475</v>
      </c>
      <c r="Q228" s="279">
        <v>0</v>
      </c>
      <c r="R228" s="277" t="s">
        <v>466</v>
      </c>
      <c r="S228" s="280">
        <v>0.25</v>
      </c>
      <c r="T228" s="277" t="s">
        <v>457</v>
      </c>
      <c r="U228" s="280">
        <v>0.36000001430511502</v>
      </c>
      <c r="V228" s="277" t="s">
        <v>456</v>
      </c>
      <c r="W228" s="280">
        <v>0.41999998688697798</v>
      </c>
      <c r="X228" s="277" t="s">
        <v>473</v>
      </c>
      <c r="Y228" s="280">
        <v>0.34999999403953602</v>
      </c>
      <c r="Z228" s="277" t="s">
        <v>476</v>
      </c>
      <c r="AA228" s="280">
        <v>0</v>
      </c>
      <c r="AB228" s="281" t="s">
        <v>473</v>
      </c>
      <c r="AC228" s="282">
        <v>0</v>
      </c>
      <c r="AE228" s="274" t="str">
        <f t="shared" ca="1" si="48"/>
        <v>ADELFAS ENERGÍA, S.L.</v>
      </c>
      <c r="AF228" s="283">
        <f t="shared" ca="1" si="49"/>
        <v>0</v>
      </c>
    </row>
    <row r="229" spans="3:32" ht="16.5" x14ac:dyDescent="0.3">
      <c r="C229" s="274">
        <f>'4.2_Electricidad España'!F26</f>
        <v>0</v>
      </c>
      <c r="D229" s="274">
        <f>'4.2_Electricidad España'!G26</f>
        <v>0</v>
      </c>
      <c r="E229" s="275" t="e">
        <f t="shared" ca="1" si="46"/>
        <v>#N/A</v>
      </c>
      <c r="F229" s="274" t="str">
        <f>IF(ISNUMBER('4.2_Electricidad España'!H26),('4.2_Electricidad España'!H26*'4.2_Electricidad España'!I26),"")</f>
        <v/>
      </c>
      <c r="G229" s="265">
        <f t="shared" si="47"/>
        <v>2</v>
      </c>
      <c r="I229" s="284"/>
      <c r="J229" s="277" t="s">
        <v>474</v>
      </c>
      <c r="K229" s="278">
        <v>0</v>
      </c>
      <c r="L229" s="277" t="s">
        <v>477</v>
      </c>
      <c r="M229" s="278">
        <v>0</v>
      </c>
      <c r="N229" s="277" t="s">
        <v>470</v>
      </c>
      <c r="O229" s="278">
        <v>0.25</v>
      </c>
      <c r="P229" s="277" t="s">
        <v>478</v>
      </c>
      <c r="Q229" s="279">
        <v>0.37000000476837203</v>
      </c>
      <c r="R229" s="277" t="s">
        <v>459</v>
      </c>
      <c r="S229" s="280">
        <v>0</v>
      </c>
      <c r="T229" s="277" t="s">
        <v>461</v>
      </c>
      <c r="U229" s="280">
        <v>0</v>
      </c>
      <c r="V229" s="277" t="s">
        <v>468</v>
      </c>
      <c r="W229" s="280">
        <v>0</v>
      </c>
      <c r="X229" s="277" t="s">
        <v>456</v>
      </c>
      <c r="Y229" s="280">
        <v>0.36000001430511502</v>
      </c>
      <c r="Z229" s="277" t="s">
        <v>479</v>
      </c>
      <c r="AA229" s="280">
        <v>0</v>
      </c>
      <c r="AB229" s="281" t="s">
        <v>476</v>
      </c>
      <c r="AC229" s="282">
        <v>0</v>
      </c>
      <c r="AE229" s="274" t="str">
        <f t="shared" ca="1" si="48"/>
        <v>ADS ENERGY 8,0, S.L.</v>
      </c>
      <c r="AF229" s="283">
        <f t="shared" ca="1" si="49"/>
        <v>0</v>
      </c>
    </row>
    <row r="230" spans="3:32" ht="16.5" x14ac:dyDescent="0.3">
      <c r="C230" s="274">
        <f>'4.2_Electricidad España'!F27</f>
        <v>0</v>
      </c>
      <c r="D230" s="274">
        <f>'4.2_Electricidad España'!G27</f>
        <v>0</v>
      </c>
      <c r="E230" s="275" t="e">
        <f t="shared" ca="1" si="46"/>
        <v>#N/A</v>
      </c>
      <c r="F230" s="274" t="str">
        <f>IF(ISNUMBER('4.2_Electricidad España'!H27),('4.2_Electricidad España'!H27*'4.2_Electricidad España'!I27),"")</f>
        <v/>
      </c>
      <c r="G230" s="265">
        <f t="shared" si="47"/>
        <v>2</v>
      </c>
      <c r="I230" s="284"/>
      <c r="J230" s="277" t="s">
        <v>477</v>
      </c>
      <c r="K230" s="278">
        <v>0.19</v>
      </c>
      <c r="L230" s="277" t="s">
        <v>480</v>
      </c>
      <c r="M230" s="278">
        <v>0.37000000476837203</v>
      </c>
      <c r="N230" s="277" t="s">
        <v>481</v>
      </c>
      <c r="O230" s="278">
        <v>0</v>
      </c>
      <c r="P230" s="277" t="s">
        <v>471</v>
      </c>
      <c r="Q230" s="279">
        <v>0</v>
      </c>
      <c r="R230" s="277" t="s">
        <v>482</v>
      </c>
      <c r="S230" s="280">
        <v>0.38999998569488498</v>
      </c>
      <c r="T230" s="277" t="s">
        <v>483</v>
      </c>
      <c r="U230" s="280">
        <v>0</v>
      </c>
      <c r="V230" s="277" t="s">
        <v>472</v>
      </c>
      <c r="W230" s="280">
        <v>0.31999999284744302</v>
      </c>
      <c r="X230" s="277" t="s">
        <v>468</v>
      </c>
      <c r="Y230" s="280">
        <v>0</v>
      </c>
      <c r="Z230" s="277" t="s">
        <v>456</v>
      </c>
      <c r="AA230" s="280">
        <v>0.270000010728836</v>
      </c>
      <c r="AB230" s="281" t="s">
        <v>479</v>
      </c>
      <c r="AC230" s="282">
        <v>0</v>
      </c>
      <c r="AE230" s="274" t="str">
        <f t="shared" ca="1" si="48"/>
        <v>ADURIZ ENERGÍA, S.L.U.</v>
      </c>
      <c r="AF230" s="283">
        <f t="shared" ca="1" si="49"/>
        <v>0</v>
      </c>
    </row>
    <row r="231" spans="3:32" ht="16.5" x14ac:dyDescent="0.3">
      <c r="C231" s="274">
        <f>'4.2_Electricidad España'!F28</f>
        <v>0</v>
      </c>
      <c r="D231" s="274">
        <f>'4.2_Electricidad España'!G28</f>
        <v>0</v>
      </c>
      <c r="E231" s="275" t="e">
        <f t="shared" ca="1" si="46"/>
        <v>#N/A</v>
      </c>
      <c r="F231" s="274" t="str">
        <f>IF(ISNUMBER('4.2_Electricidad España'!H28),('4.2_Electricidad España'!H28*'4.2_Electricidad España'!I28),"")</f>
        <v/>
      </c>
      <c r="G231" s="265">
        <f t="shared" si="47"/>
        <v>2</v>
      </c>
      <c r="I231" s="284"/>
      <c r="J231" s="277" t="s">
        <v>480</v>
      </c>
      <c r="K231" s="278">
        <v>0.33</v>
      </c>
      <c r="L231" s="277" t="s">
        <v>484</v>
      </c>
      <c r="M231" s="278">
        <v>0</v>
      </c>
      <c r="N231" s="277" t="s">
        <v>477</v>
      </c>
      <c r="O231" s="278">
        <v>0</v>
      </c>
      <c r="P231" s="277" t="s">
        <v>458</v>
      </c>
      <c r="Q231" s="279">
        <v>0.36000001430511502</v>
      </c>
      <c r="R231" s="277" t="s">
        <v>475</v>
      </c>
      <c r="S231" s="280">
        <v>0</v>
      </c>
      <c r="T231" s="277" t="s">
        <v>467</v>
      </c>
      <c r="U231" s="280">
        <v>0.36000001430511502</v>
      </c>
      <c r="V231" s="277" t="s">
        <v>457</v>
      </c>
      <c r="W231" s="280">
        <v>0.41999998688697798</v>
      </c>
      <c r="X231" s="277" t="s">
        <v>485</v>
      </c>
      <c r="Y231" s="280">
        <v>0.40999999642372098</v>
      </c>
      <c r="Z231" s="277" t="s">
        <v>468</v>
      </c>
      <c r="AA231" s="280">
        <v>0</v>
      </c>
      <c r="AB231" s="281" t="s">
        <v>456</v>
      </c>
      <c r="AC231" s="282">
        <v>0.18</v>
      </c>
      <c r="AE231" s="274" t="str">
        <f t="shared" ca="1" si="48"/>
        <v>AGENTE DEL MERCADO ELÉCTRICO, S.A.</v>
      </c>
      <c r="AF231" s="283">
        <f t="shared" ca="1" si="49"/>
        <v>0.18</v>
      </c>
    </row>
    <row r="232" spans="3:32" ht="16.5" x14ac:dyDescent="0.3">
      <c r="C232" s="274">
        <f>'4.2_Electricidad España'!F29</f>
        <v>0</v>
      </c>
      <c r="D232" s="274">
        <f>'4.2_Electricidad España'!G29</f>
        <v>0</v>
      </c>
      <c r="E232" s="275" t="e">
        <f t="shared" ca="1" si="46"/>
        <v>#N/A</v>
      </c>
      <c r="F232" s="274" t="str">
        <f>IF(ISNUMBER('4.2_Electricidad España'!H29),('4.2_Electricidad España'!H29*'4.2_Electricidad España'!I29),"")</f>
        <v/>
      </c>
      <c r="G232" s="265">
        <f t="shared" si="47"/>
        <v>2</v>
      </c>
      <c r="I232" s="284"/>
      <c r="J232" s="277" t="s">
        <v>484</v>
      </c>
      <c r="K232" s="278">
        <v>0</v>
      </c>
      <c r="L232" s="277" t="s">
        <v>486</v>
      </c>
      <c r="M232" s="278">
        <v>0.25</v>
      </c>
      <c r="N232" s="277" t="s">
        <v>480</v>
      </c>
      <c r="O232" s="278">
        <v>0.31000000238418601</v>
      </c>
      <c r="P232" s="277" t="s">
        <v>487</v>
      </c>
      <c r="Q232" s="279">
        <v>0</v>
      </c>
      <c r="R232" s="277" t="s">
        <v>471</v>
      </c>
      <c r="S232" s="280">
        <v>0</v>
      </c>
      <c r="T232" s="277" t="s">
        <v>460</v>
      </c>
      <c r="U232" s="280">
        <v>0</v>
      </c>
      <c r="V232" s="277" t="s">
        <v>455</v>
      </c>
      <c r="W232" s="280">
        <v>5.9999998658895499E-2</v>
      </c>
      <c r="X232" s="277" t="s">
        <v>472</v>
      </c>
      <c r="Y232" s="280">
        <v>0.30000001192092901</v>
      </c>
      <c r="Z232" s="277" t="s">
        <v>485</v>
      </c>
      <c r="AA232" s="280">
        <v>0.31000000238418601</v>
      </c>
      <c r="AB232" s="281" t="s">
        <v>468</v>
      </c>
      <c r="AC232" s="282">
        <v>0</v>
      </c>
      <c r="AE232" s="274" t="str">
        <f t="shared" ca="1" si="48"/>
        <v>AGRI-ENERGÍA, S.A.</v>
      </c>
      <c r="AF232" s="283">
        <f t="shared" ca="1" si="49"/>
        <v>0</v>
      </c>
    </row>
    <row r="233" spans="3:32" ht="16.5" x14ac:dyDescent="0.3">
      <c r="C233" s="274">
        <f>'4.2_Electricidad España'!F30</f>
        <v>0</v>
      </c>
      <c r="D233" s="274">
        <f>'4.2_Electricidad España'!G30</f>
        <v>0</v>
      </c>
      <c r="E233" s="275" t="e">
        <f t="shared" ca="1" si="46"/>
        <v>#N/A</v>
      </c>
      <c r="F233" s="274" t="str">
        <f>IF(ISNUMBER('4.2_Electricidad España'!H30),('4.2_Electricidad España'!H30*'4.2_Electricidad España'!I30),"")</f>
        <v/>
      </c>
      <c r="G233" s="265">
        <f t="shared" si="47"/>
        <v>2</v>
      </c>
      <c r="I233" s="284"/>
      <c r="J233" s="277" t="s">
        <v>488</v>
      </c>
      <c r="K233" s="278">
        <v>0.23</v>
      </c>
      <c r="L233" s="277" t="s">
        <v>489</v>
      </c>
      <c r="M233" s="278">
        <v>0.140000000596046</v>
      </c>
      <c r="N233" s="277" t="s">
        <v>490</v>
      </c>
      <c r="O233" s="278">
        <v>0.28000000119209301</v>
      </c>
      <c r="P233" s="277" t="s">
        <v>470</v>
      </c>
      <c r="Q233" s="279">
        <v>0.270000010728836</v>
      </c>
      <c r="R233" s="277" t="s">
        <v>458</v>
      </c>
      <c r="S233" s="280">
        <v>0.40000000596046498</v>
      </c>
      <c r="T233" s="277" t="s">
        <v>466</v>
      </c>
      <c r="U233" s="280">
        <v>0.15000000596046401</v>
      </c>
      <c r="V233" s="277" t="s">
        <v>461</v>
      </c>
      <c r="W233" s="280">
        <v>1.9999999552965199E-2</v>
      </c>
      <c r="X233" s="277" t="s">
        <v>457</v>
      </c>
      <c r="Y233" s="280">
        <v>0.40000000596046498</v>
      </c>
      <c r="Z233" s="277" t="s">
        <v>491</v>
      </c>
      <c r="AA233" s="280">
        <v>0</v>
      </c>
      <c r="AB233" s="281" t="s">
        <v>485</v>
      </c>
      <c r="AC233" s="282">
        <v>0.25</v>
      </c>
      <c r="AE233" s="274" t="str">
        <f t="shared" ca="1" si="48"/>
        <v>AGUAS DE BARBASTRO ENERGÍA, S.L.</v>
      </c>
      <c r="AF233" s="283">
        <f t="shared" ca="1" si="49"/>
        <v>0.25</v>
      </c>
    </row>
    <row r="234" spans="3:32" ht="16.5" x14ac:dyDescent="0.3">
      <c r="C234" s="274">
        <f>'4.2_Electricidad España'!F31</f>
        <v>0</v>
      </c>
      <c r="D234" s="274">
        <f>'4.2_Electricidad España'!G31</f>
        <v>0</v>
      </c>
      <c r="E234" s="275" t="e">
        <f t="shared" ca="1" si="46"/>
        <v>#N/A</v>
      </c>
      <c r="F234" s="274" t="str">
        <f>IF(ISNUMBER('4.2_Electricidad España'!H31),('4.2_Electricidad España'!H31*'4.2_Electricidad España'!I31),"")</f>
        <v/>
      </c>
      <c r="G234" s="265">
        <f t="shared" si="47"/>
        <v>2</v>
      </c>
      <c r="I234" s="284"/>
      <c r="J234" s="277" t="s">
        <v>489</v>
      </c>
      <c r="K234" s="278">
        <v>0.08</v>
      </c>
      <c r="L234" s="277" t="s">
        <v>492</v>
      </c>
      <c r="M234" s="278">
        <v>0.129999995231628</v>
      </c>
      <c r="N234" s="277" t="s">
        <v>493</v>
      </c>
      <c r="O234" s="278">
        <v>0.36000001430511502</v>
      </c>
      <c r="P234" s="277" t="s">
        <v>481</v>
      </c>
      <c r="Q234" s="279">
        <v>0.259999990463257</v>
      </c>
      <c r="R234" s="277" t="s">
        <v>494</v>
      </c>
      <c r="S234" s="280">
        <v>0.40000000596046498</v>
      </c>
      <c r="T234" s="277" t="s">
        <v>459</v>
      </c>
      <c r="U234" s="280">
        <v>0</v>
      </c>
      <c r="V234" s="277" t="s">
        <v>495</v>
      </c>
      <c r="W234" s="280">
        <v>0</v>
      </c>
      <c r="X234" s="277" t="s">
        <v>496</v>
      </c>
      <c r="Y234" s="280">
        <v>0</v>
      </c>
      <c r="Z234" s="277" t="s">
        <v>497</v>
      </c>
      <c r="AA234" s="280">
        <v>0.31000000238418601</v>
      </c>
      <c r="AB234" s="281" t="s">
        <v>491</v>
      </c>
      <c r="AC234" s="282">
        <v>0</v>
      </c>
      <c r="AE234" s="274" t="str">
        <f t="shared" ca="1" si="48"/>
        <v>AHORRELUZ SERVICIOS ONLINE S.L</v>
      </c>
      <c r="AF234" s="283">
        <f t="shared" ca="1" si="49"/>
        <v>0</v>
      </c>
    </row>
    <row r="235" spans="3:32" ht="16.5" x14ac:dyDescent="0.3">
      <c r="C235" s="274">
        <f>'4.2_Electricidad España'!F32</f>
        <v>0</v>
      </c>
      <c r="D235" s="274">
        <f>'4.2_Electricidad España'!G32</f>
        <v>0</v>
      </c>
      <c r="E235" s="275" t="e">
        <f t="shared" ca="1" si="46"/>
        <v>#N/A</v>
      </c>
      <c r="F235" s="274" t="str">
        <f>IF(ISNUMBER('4.2_Electricidad España'!H32),('4.2_Electricidad España'!H32*'4.2_Electricidad España'!I32),"")</f>
        <v/>
      </c>
      <c r="G235" s="265">
        <f t="shared" si="47"/>
        <v>2</v>
      </c>
      <c r="I235" s="284"/>
      <c r="J235" s="277" t="s">
        <v>492</v>
      </c>
      <c r="K235" s="278">
        <v>0.08</v>
      </c>
      <c r="L235" s="277" t="s">
        <v>498</v>
      </c>
      <c r="M235" s="278">
        <v>9.9999997764825804E-3</v>
      </c>
      <c r="N235" s="277" t="s">
        <v>499</v>
      </c>
      <c r="O235" s="278">
        <v>0.31999999284744302</v>
      </c>
      <c r="P235" s="277" t="s">
        <v>477</v>
      </c>
      <c r="Q235" s="279">
        <v>0</v>
      </c>
      <c r="R235" s="277" t="s">
        <v>500</v>
      </c>
      <c r="S235" s="280">
        <v>0</v>
      </c>
      <c r="T235" s="277" t="s">
        <v>482</v>
      </c>
      <c r="U235" s="280">
        <v>0</v>
      </c>
      <c r="V235" s="277" t="s">
        <v>483</v>
      </c>
      <c r="W235" s="280">
        <v>0</v>
      </c>
      <c r="X235" s="277" t="s">
        <v>455</v>
      </c>
      <c r="Y235" s="280">
        <v>0.119999997317791</v>
      </c>
      <c r="Z235" s="277" t="s">
        <v>472</v>
      </c>
      <c r="AA235" s="280">
        <v>0</v>
      </c>
      <c r="AB235" s="281" t="s">
        <v>497</v>
      </c>
      <c r="AC235" s="282">
        <v>0.22</v>
      </c>
      <c r="AE235" s="274" t="str">
        <f t="shared" ca="1" si="48"/>
        <v>AHORRO ENERGÍA HOGAR INVESTMENTS, S.L.</v>
      </c>
      <c r="AF235" s="283">
        <f t="shared" ca="1" si="49"/>
        <v>0.22</v>
      </c>
    </row>
    <row r="236" spans="3:32" ht="16.5" x14ac:dyDescent="0.3">
      <c r="C236" s="274">
        <f>'4.2_Electricidad España'!F33</f>
        <v>0</v>
      </c>
      <c r="D236" s="274">
        <f>'4.2_Electricidad España'!G33</f>
        <v>0</v>
      </c>
      <c r="E236" s="275" t="e">
        <f t="shared" ca="1" si="46"/>
        <v>#N/A</v>
      </c>
      <c r="F236" s="274" t="str">
        <f>IF(ISNUMBER('4.2_Electricidad España'!H33),('4.2_Electricidad España'!H33*'4.2_Electricidad España'!I33),"")</f>
        <v/>
      </c>
      <c r="G236" s="265">
        <f t="shared" si="47"/>
        <v>2</v>
      </c>
      <c r="I236" s="284"/>
      <c r="J236" s="277" t="s">
        <v>498</v>
      </c>
      <c r="K236" s="278">
        <v>0</v>
      </c>
      <c r="L236" s="277" t="s">
        <v>501</v>
      </c>
      <c r="M236" s="278">
        <v>0</v>
      </c>
      <c r="N236" s="277" t="s">
        <v>484</v>
      </c>
      <c r="O236" s="278">
        <v>0</v>
      </c>
      <c r="P236" s="277" t="s">
        <v>480</v>
      </c>
      <c r="Q236" s="279">
        <v>0.33000001311302202</v>
      </c>
      <c r="R236" s="277" t="s">
        <v>502</v>
      </c>
      <c r="S236" s="280">
        <v>0</v>
      </c>
      <c r="T236" s="277" t="s">
        <v>503</v>
      </c>
      <c r="U236" s="280">
        <v>0</v>
      </c>
      <c r="V236" s="277" t="s">
        <v>504</v>
      </c>
      <c r="W236" s="280">
        <v>0</v>
      </c>
      <c r="X236" s="277" t="s">
        <v>461</v>
      </c>
      <c r="Y236" s="280">
        <v>0.34999999403953602</v>
      </c>
      <c r="Z236" s="277" t="s">
        <v>457</v>
      </c>
      <c r="AA236" s="280">
        <v>0.30000001192092901</v>
      </c>
      <c r="AB236" s="281" t="s">
        <v>505</v>
      </c>
      <c r="AC236" s="282">
        <v>0</v>
      </c>
      <c r="AE236" s="274" t="str">
        <f t="shared" ca="1" si="48"/>
        <v>AIRE COMERCIALIZADORA S.L.</v>
      </c>
      <c r="AF236" s="283">
        <f t="shared" ca="1" si="49"/>
        <v>0</v>
      </c>
    </row>
    <row r="237" spans="3:32" ht="16.5" x14ac:dyDescent="0.3">
      <c r="C237" s="274">
        <f>'4.2_Electricidad España'!F34</f>
        <v>0</v>
      </c>
      <c r="D237" s="274">
        <f>'4.2_Electricidad España'!G34</f>
        <v>0</v>
      </c>
      <c r="E237" s="275" t="e">
        <f t="shared" ca="1" si="46"/>
        <v>#N/A</v>
      </c>
      <c r="F237" s="274" t="str">
        <f>IF(ISNUMBER('4.2_Electricidad España'!H34),('4.2_Electricidad España'!H34*'4.2_Electricidad España'!I34),"")</f>
        <v/>
      </c>
      <c r="G237" s="265">
        <f t="shared" si="47"/>
        <v>2</v>
      </c>
      <c r="I237" s="284"/>
      <c r="J237" s="277" t="s">
        <v>506</v>
      </c>
      <c r="K237" s="278">
        <v>0</v>
      </c>
      <c r="L237" s="277" t="s">
        <v>506</v>
      </c>
      <c r="M237" s="278">
        <v>0</v>
      </c>
      <c r="N237" s="277" t="s">
        <v>486</v>
      </c>
      <c r="O237" s="278">
        <v>0.239999994635582</v>
      </c>
      <c r="P237" s="277" t="s">
        <v>490</v>
      </c>
      <c r="Q237" s="279">
        <v>0</v>
      </c>
      <c r="R237" s="277" t="s">
        <v>487</v>
      </c>
      <c r="S237" s="280">
        <v>2.9999999329447701E-2</v>
      </c>
      <c r="T237" s="277" t="s">
        <v>507</v>
      </c>
      <c r="U237" s="280">
        <v>0.18000000715255701</v>
      </c>
      <c r="V237" s="277" t="s">
        <v>467</v>
      </c>
      <c r="W237" s="280">
        <v>0.40999999642372098</v>
      </c>
      <c r="X237" s="277" t="s">
        <v>483</v>
      </c>
      <c r="Y237" s="280">
        <v>0</v>
      </c>
      <c r="Z237" s="277" t="s">
        <v>508</v>
      </c>
      <c r="AA237" s="280">
        <v>0</v>
      </c>
      <c r="AB237" s="281" t="s">
        <v>509</v>
      </c>
      <c r="AC237" s="282">
        <v>0</v>
      </c>
      <c r="AE237" s="274" t="str">
        <f t="shared" ca="1" si="48"/>
        <v>AIRE LIMPIO SL</v>
      </c>
      <c r="AF237" s="283">
        <f t="shared" ca="1" si="49"/>
        <v>0</v>
      </c>
    </row>
    <row r="238" spans="3:32" ht="16.5" x14ac:dyDescent="0.3">
      <c r="C238" s="274">
        <f>'4.2_Electricidad España'!F35</f>
        <v>0</v>
      </c>
      <c r="D238" s="274">
        <f>'4.2_Electricidad España'!G35</f>
        <v>0</v>
      </c>
      <c r="E238" s="275" t="e">
        <f t="shared" ca="1" si="46"/>
        <v>#N/A</v>
      </c>
      <c r="F238" s="274" t="str">
        <f>IF(ISNUMBER('4.2_Electricidad España'!H35),('4.2_Electricidad España'!H35*'4.2_Electricidad España'!I35),"")</f>
        <v/>
      </c>
      <c r="G238" s="265">
        <f t="shared" si="47"/>
        <v>2</v>
      </c>
      <c r="I238" s="284"/>
      <c r="J238" s="277" t="s">
        <v>510</v>
      </c>
      <c r="K238" s="278">
        <v>0.23</v>
      </c>
      <c r="L238" s="277" t="s">
        <v>511</v>
      </c>
      <c r="M238" s="278">
        <v>0.239999994635582</v>
      </c>
      <c r="N238" s="277" t="s">
        <v>512</v>
      </c>
      <c r="O238" s="278">
        <v>0.34999999403953602</v>
      </c>
      <c r="P238" s="277" t="s">
        <v>513</v>
      </c>
      <c r="Q238" s="279">
        <v>0</v>
      </c>
      <c r="R238" s="277" t="s">
        <v>514</v>
      </c>
      <c r="S238" s="280">
        <v>1.9999999552965199E-2</v>
      </c>
      <c r="T238" s="277" t="s">
        <v>475</v>
      </c>
      <c r="U238" s="280">
        <v>0</v>
      </c>
      <c r="V238" s="277" t="s">
        <v>460</v>
      </c>
      <c r="W238" s="280">
        <v>0</v>
      </c>
      <c r="X238" s="277" t="s">
        <v>504</v>
      </c>
      <c r="Y238" s="280">
        <v>0</v>
      </c>
      <c r="Z238" s="277" t="s">
        <v>455</v>
      </c>
      <c r="AA238" s="280">
        <v>0.18000000715255701</v>
      </c>
      <c r="AB238" s="281" t="s">
        <v>472</v>
      </c>
      <c r="AC238" s="282">
        <v>0</v>
      </c>
      <c r="AE238" s="274" t="str">
        <f t="shared" ca="1" si="48"/>
        <v>ALCANZIA ENERGÍA, S.L.</v>
      </c>
      <c r="AF238" s="283">
        <f t="shared" ca="1" si="49"/>
        <v>0</v>
      </c>
    </row>
    <row r="239" spans="3:32" ht="16.5" x14ac:dyDescent="0.3">
      <c r="C239" s="274">
        <f>'4.2_Electricidad España'!F36</f>
        <v>0</v>
      </c>
      <c r="D239" s="274">
        <f>'4.2_Electricidad España'!G36</f>
        <v>0</v>
      </c>
      <c r="E239" s="275" t="e">
        <f t="shared" ca="1" si="46"/>
        <v>#N/A</v>
      </c>
      <c r="F239" s="274" t="str">
        <f>IF(ISNUMBER('4.2_Electricidad España'!H36),('4.2_Electricidad España'!H36*'4.2_Electricidad España'!I36),"")</f>
        <v/>
      </c>
      <c r="G239" s="265">
        <f t="shared" si="47"/>
        <v>2</v>
      </c>
      <c r="I239" s="284"/>
      <c r="J239" s="277" t="s">
        <v>515</v>
      </c>
      <c r="K239" s="278">
        <v>0.33</v>
      </c>
      <c r="L239" s="277" t="s">
        <v>515</v>
      </c>
      <c r="M239" s="278">
        <v>0</v>
      </c>
      <c r="N239" s="277" t="s">
        <v>489</v>
      </c>
      <c r="O239" s="278">
        <v>0.230000004172325</v>
      </c>
      <c r="P239" s="277" t="s">
        <v>493</v>
      </c>
      <c r="Q239" s="279">
        <v>0.31000000238418601</v>
      </c>
      <c r="R239" s="277" t="s">
        <v>470</v>
      </c>
      <c r="S239" s="280">
        <v>0.34000000357627902</v>
      </c>
      <c r="T239" s="277" t="s">
        <v>471</v>
      </c>
      <c r="U239" s="280">
        <v>0</v>
      </c>
      <c r="V239" s="277" t="s">
        <v>516</v>
      </c>
      <c r="W239" s="280">
        <v>0</v>
      </c>
      <c r="X239" s="277" t="s">
        <v>467</v>
      </c>
      <c r="Y239" s="280">
        <v>0.28999999165535001</v>
      </c>
      <c r="Z239" s="277" t="s">
        <v>461</v>
      </c>
      <c r="AA239" s="280">
        <v>0</v>
      </c>
      <c r="AB239" s="281" t="s">
        <v>457</v>
      </c>
      <c r="AC239" s="282">
        <v>0</v>
      </c>
      <c r="AE239" s="274" t="str">
        <f t="shared" ca="1" si="48"/>
        <v>ALDRO ENERGÍA Y SOLUCIONES, S.L.U.</v>
      </c>
      <c r="AF239" s="283">
        <f t="shared" ca="1" si="49"/>
        <v>0</v>
      </c>
    </row>
    <row r="240" spans="3:32" ht="16.5" x14ac:dyDescent="0.3">
      <c r="C240" s="274">
        <f>'4.2_Electricidad España'!F37</f>
        <v>0</v>
      </c>
      <c r="D240" s="274">
        <f>'4.2_Electricidad España'!G37</f>
        <v>0</v>
      </c>
      <c r="E240" s="275" t="e">
        <f t="shared" ca="1" si="46"/>
        <v>#N/A</v>
      </c>
      <c r="F240" s="274" t="str">
        <f>IF(ISNUMBER('4.2_Electricidad España'!H37),('4.2_Electricidad España'!H37*'4.2_Electricidad España'!I37),"")</f>
        <v/>
      </c>
      <c r="G240" s="265">
        <f t="shared" si="47"/>
        <v>2</v>
      </c>
      <c r="I240" s="284"/>
      <c r="J240" s="277" t="s">
        <v>517</v>
      </c>
      <c r="K240" s="278">
        <v>0.17</v>
      </c>
      <c r="L240" s="277" t="s">
        <v>517</v>
      </c>
      <c r="M240" s="278">
        <v>0.239999994635582</v>
      </c>
      <c r="N240" s="277" t="s">
        <v>492</v>
      </c>
      <c r="O240" s="278">
        <v>0.230000004172325</v>
      </c>
      <c r="P240" s="277" t="s">
        <v>484</v>
      </c>
      <c r="Q240" s="279">
        <v>0</v>
      </c>
      <c r="R240" s="277" t="s">
        <v>518</v>
      </c>
      <c r="S240" s="280">
        <v>0</v>
      </c>
      <c r="T240" s="277" t="s">
        <v>519</v>
      </c>
      <c r="U240" s="280">
        <v>0</v>
      </c>
      <c r="V240" s="277" t="s">
        <v>466</v>
      </c>
      <c r="W240" s="280">
        <v>0.109999999403954</v>
      </c>
      <c r="X240" s="277" t="s">
        <v>460</v>
      </c>
      <c r="Y240" s="280">
        <v>0</v>
      </c>
      <c r="Z240" s="277" t="s">
        <v>483</v>
      </c>
      <c r="AA240" s="280">
        <v>0</v>
      </c>
      <c r="AB240" s="281" t="s">
        <v>520</v>
      </c>
      <c r="AC240" s="282">
        <v>0</v>
      </c>
      <c r="AE240" s="274" t="str">
        <f t="shared" ca="1" si="48"/>
        <v>ALPEX IBÉRICA DE ENERGÍA, S.L.U</v>
      </c>
      <c r="AF240" s="283">
        <f t="shared" ca="1" si="49"/>
        <v>0</v>
      </c>
    </row>
    <row r="241" spans="3:32" ht="16.5" x14ac:dyDescent="0.3">
      <c r="C241" s="274">
        <f>'4.2_Electricidad España'!F38</f>
        <v>0</v>
      </c>
      <c r="D241" s="274">
        <f>'4.2_Electricidad España'!G38</f>
        <v>0</v>
      </c>
      <c r="E241" s="275" t="e">
        <f t="shared" ca="1" si="46"/>
        <v>#N/A</v>
      </c>
      <c r="F241" s="274" t="str">
        <f>IF(ISNUMBER('4.2_Electricidad España'!H38),('4.2_Electricidad España'!H38*'4.2_Electricidad España'!I38),"")</f>
        <v/>
      </c>
      <c r="G241" s="265">
        <f t="shared" si="47"/>
        <v>2</v>
      </c>
      <c r="I241" s="284"/>
      <c r="J241" s="277" t="s">
        <v>521</v>
      </c>
      <c r="K241" s="278">
        <v>0.26</v>
      </c>
      <c r="L241" s="277" t="s">
        <v>522</v>
      </c>
      <c r="M241" s="278">
        <v>0.34999999403953602</v>
      </c>
      <c r="N241" s="277" t="s">
        <v>498</v>
      </c>
      <c r="O241" s="278">
        <v>0.31999999284744302</v>
      </c>
      <c r="P241" s="277" t="s">
        <v>486</v>
      </c>
      <c r="Q241" s="279">
        <v>0.270000010728836</v>
      </c>
      <c r="R241" s="277" t="s">
        <v>523</v>
      </c>
      <c r="S241" s="280">
        <v>0</v>
      </c>
      <c r="T241" s="277" t="s">
        <v>458</v>
      </c>
      <c r="U241" s="280">
        <v>5.0000000745058101E-2</v>
      </c>
      <c r="V241" s="277" t="s">
        <v>459</v>
      </c>
      <c r="W241" s="280">
        <v>0</v>
      </c>
      <c r="X241" s="277" t="s">
        <v>516</v>
      </c>
      <c r="Y241" s="280">
        <v>0</v>
      </c>
      <c r="Z241" s="277" t="s">
        <v>504</v>
      </c>
      <c r="AA241" s="280">
        <v>0</v>
      </c>
      <c r="AB241" s="281" t="s">
        <v>455</v>
      </c>
      <c r="AC241" s="282">
        <v>0.14000000000000001</v>
      </c>
      <c r="AE241" s="274" t="str">
        <f t="shared" ca="1" si="48"/>
        <v>ALPIQ ENERGÍA ESPAÑA, S.A.U.</v>
      </c>
      <c r="AF241" s="283">
        <f t="shared" ca="1" si="49"/>
        <v>0.14000000000000001</v>
      </c>
    </row>
    <row r="242" spans="3:32" ht="16.5" x14ac:dyDescent="0.3">
      <c r="C242" s="274">
        <f>'4.2_Electricidad España'!F39</f>
        <v>0</v>
      </c>
      <c r="D242" s="274">
        <f>'4.2_Electricidad España'!G39</f>
        <v>0</v>
      </c>
      <c r="E242" s="275" t="e">
        <f t="shared" ca="1" si="46"/>
        <v>#N/A</v>
      </c>
      <c r="F242" s="274" t="str">
        <f>IF(ISNUMBER('4.2_Electricidad España'!H39),('4.2_Electricidad España'!H39*'4.2_Electricidad España'!I39),"")</f>
        <v/>
      </c>
      <c r="G242" s="265">
        <f t="shared" si="47"/>
        <v>2</v>
      </c>
      <c r="I242" s="284"/>
      <c r="J242" s="277" t="s">
        <v>524</v>
      </c>
      <c r="K242" s="278">
        <v>0.36</v>
      </c>
      <c r="L242" s="277" t="s">
        <v>525</v>
      </c>
      <c r="M242" s="278">
        <v>0.25</v>
      </c>
      <c r="N242" s="277" t="s">
        <v>501</v>
      </c>
      <c r="O242" s="278">
        <v>0</v>
      </c>
      <c r="P242" s="277" t="s">
        <v>512</v>
      </c>
      <c r="Q242" s="279">
        <v>0.31999999284744302</v>
      </c>
      <c r="R242" s="277" t="s">
        <v>481</v>
      </c>
      <c r="S242" s="280">
        <v>0.33000001311302202</v>
      </c>
      <c r="T242" s="277" t="s">
        <v>500</v>
      </c>
      <c r="U242" s="280">
        <v>0</v>
      </c>
      <c r="V242" s="277" t="s">
        <v>482</v>
      </c>
      <c r="W242" s="280">
        <v>0</v>
      </c>
      <c r="X242" s="277" t="s">
        <v>466</v>
      </c>
      <c r="Y242" s="280">
        <v>0.25</v>
      </c>
      <c r="Z242" s="277" t="s">
        <v>526</v>
      </c>
      <c r="AA242" s="280">
        <v>0.28000000119209301</v>
      </c>
      <c r="AB242" s="281" t="s">
        <v>527</v>
      </c>
      <c r="AC242" s="282">
        <v>0</v>
      </c>
      <c r="AE242" s="274" t="str">
        <f t="shared" ca="1" si="48"/>
        <v>ALSET COMERCIALIZADORA, S.L.</v>
      </c>
      <c r="AF242" s="283">
        <f t="shared" ca="1" si="49"/>
        <v>0</v>
      </c>
    </row>
    <row r="243" spans="3:32" ht="16.5" x14ac:dyDescent="0.3">
      <c r="C243" s="274">
        <f>'4.2_Electricidad España'!F40</f>
        <v>0</v>
      </c>
      <c r="D243" s="274">
        <f>'4.2_Electricidad España'!G40</f>
        <v>0</v>
      </c>
      <c r="E243" s="275" t="e">
        <f t="shared" ca="1" si="46"/>
        <v>#N/A</v>
      </c>
      <c r="F243" s="274" t="str">
        <f>IF(ISNUMBER('4.2_Electricidad España'!H40),('4.2_Electricidad España'!H40*'4.2_Electricidad España'!I40),"")</f>
        <v/>
      </c>
      <c r="G243" s="265">
        <f t="shared" si="47"/>
        <v>2</v>
      </c>
      <c r="I243" s="284"/>
      <c r="J243" s="277" t="s">
        <v>528</v>
      </c>
      <c r="K243" s="278">
        <v>0</v>
      </c>
      <c r="L243" s="277" t="s">
        <v>524</v>
      </c>
      <c r="M243" s="278">
        <v>0.30000001192092901</v>
      </c>
      <c r="N243" s="277" t="s">
        <v>506</v>
      </c>
      <c r="O243" s="278">
        <v>0</v>
      </c>
      <c r="P243" s="277" t="s">
        <v>489</v>
      </c>
      <c r="Q243" s="279">
        <v>0.28999999165535001</v>
      </c>
      <c r="R243" s="277" t="s">
        <v>529</v>
      </c>
      <c r="S243" s="280">
        <v>0</v>
      </c>
      <c r="T243" s="277" t="s">
        <v>530</v>
      </c>
      <c r="U243" s="280">
        <v>1.9999999552965199E-2</v>
      </c>
      <c r="V243" s="277" t="s">
        <v>475</v>
      </c>
      <c r="W243" s="280">
        <v>0</v>
      </c>
      <c r="X243" s="277" t="s">
        <v>459</v>
      </c>
      <c r="Y243" s="280">
        <v>0</v>
      </c>
      <c r="Z243" s="277" t="s">
        <v>467</v>
      </c>
      <c r="AA243" s="280">
        <v>0</v>
      </c>
      <c r="AB243" s="281" t="s">
        <v>461</v>
      </c>
      <c r="AC243" s="282">
        <v>0</v>
      </c>
      <c r="AE243" s="274" t="str">
        <f t="shared" ca="1" si="48"/>
        <v>ANOTHER ENERGY OPTION, S.L.</v>
      </c>
      <c r="AF243" s="283">
        <f t="shared" ca="1" si="49"/>
        <v>0</v>
      </c>
    </row>
    <row r="244" spans="3:32" ht="16.5" x14ac:dyDescent="0.3">
      <c r="C244" s="274">
        <f>'4.2_Electricidad España'!F41</f>
        <v>0</v>
      </c>
      <c r="D244" s="274">
        <f>'4.2_Electricidad España'!G41</f>
        <v>0</v>
      </c>
      <c r="E244" s="275" t="e">
        <f t="shared" ca="1" si="46"/>
        <v>#N/A</v>
      </c>
      <c r="F244" s="274" t="str">
        <f>IF(ISNUMBER('4.2_Electricidad España'!H41),('4.2_Electricidad España'!H41*'4.2_Electricidad España'!I41),"")</f>
        <v/>
      </c>
      <c r="G244" s="265">
        <f t="shared" si="47"/>
        <v>2</v>
      </c>
      <c r="J244" s="277" t="s">
        <v>531</v>
      </c>
      <c r="K244" s="278">
        <v>0</v>
      </c>
      <c r="L244" s="277" t="s">
        <v>528</v>
      </c>
      <c r="M244" s="278">
        <v>9.9999997764825804E-3</v>
      </c>
      <c r="N244" s="277" t="s">
        <v>532</v>
      </c>
      <c r="O244" s="278">
        <v>0</v>
      </c>
      <c r="P244" s="277" t="s">
        <v>492</v>
      </c>
      <c r="Q244" s="279">
        <v>0.28999999165535001</v>
      </c>
      <c r="R244" s="277" t="s">
        <v>533</v>
      </c>
      <c r="S244" s="280">
        <v>0</v>
      </c>
      <c r="T244" s="277" t="s">
        <v>534</v>
      </c>
      <c r="U244" s="280">
        <v>0</v>
      </c>
      <c r="V244" s="277" t="s">
        <v>471</v>
      </c>
      <c r="W244" s="280">
        <v>0</v>
      </c>
      <c r="X244" s="277" t="s">
        <v>482</v>
      </c>
      <c r="Y244" s="280">
        <v>0</v>
      </c>
      <c r="Z244" s="277" t="s">
        <v>460</v>
      </c>
      <c r="AA244" s="280">
        <v>0</v>
      </c>
      <c r="AB244" s="281" t="s">
        <v>483</v>
      </c>
      <c r="AC244" s="282">
        <v>0</v>
      </c>
      <c r="AE244" s="274" t="str">
        <f t="shared" ca="1" si="48"/>
        <v>AQUÍ ENERGÍA, S.L.</v>
      </c>
      <c r="AF244" s="283">
        <f t="shared" ca="1" si="49"/>
        <v>0</v>
      </c>
    </row>
    <row r="245" spans="3:32" ht="15.75" customHeight="1" x14ac:dyDescent="0.3">
      <c r="F245" s="285">
        <f>SUMIF(F223:F244,"&gt;0")</f>
        <v>0</v>
      </c>
      <c r="J245" s="277" t="s">
        <v>535</v>
      </c>
      <c r="K245" s="278">
        <v>0.33</v>
      </c>
      <c r="L245" s="277" t="s">
        <v>531</v>
      </c>
      <c r="M245" s="278">
        <v>0</v>
      </c>
      <c r="N245" s="277" t="s">
        <v>511</v>
      </c>
      <c r="O245" s="278">
        <v>0.17000000178813901</v>
      </c>
      <c r="P245" s="277" t="s">
        <v>536</v>
      </c>
      <c r="Q245" s="279">
        <v>0.34000000357627902</v>
      </c>
      <c r="R245" s="277" t="s">
        <v>537</v>
      </c>
      <c r="S245" s="280">
        <v>0.20999999344348899</v>
      </c>
      <c r="T245" s="277" t="s">
        <v>538</v>
      </c>
      <c r="U245" s="280">
        <v>0</v>
      </c>
      <c r="V245" s="277" t="s">
        <v>539</v>
      </c>
      <c r="W245" s="280">
        <v>0</v>
      </c>
      <c r="X245" s="277" t="s">
        <v>540</v>
      </c>
      <c r="Y245" s="280">
        <v>0.40000000596046498</v>
      </c>
      <c r="Z245" s="277" t="s">
        <v>516</v>
      </c>
      <c r="AA245" s="280">
        <v>0</v>
      </c>
      <c r="AB245" s="281" t="s">
        <v>541</v>
      </c>
      <c r="AC245" s="282">
        <v>0.24</v>
      </c>
      <c r="AE245" s="274" t="str">
        <f t="shared" ca="1" si="48"/>
        <v>ARACÁN ENERGÍA, S.L.</v>
      </c>
      <c r="AF245" s="283">
        <f t="shared" ca="1" si="49"/>
        <v>0.24</v>
      </c>
    </row>
    <row r="246" spans="3:32" ht="16.5" x14ac:dyDescent="0.3">
      <c r="J246" s="286" t="s">
        <v>542</v>
      </c>
      <c r="K246" s="278">
        <v>0.36</v>
      </c>
      <c r="L246" s="277" t="s">
        <v>535</v>
      </c>
      <c r="M246" s="278">
        <v>0.38999998569488498</v>
      </c>
      <c r="N246" s="277" t="s">
        <v>543</v>
      </c>
      <c r="O246" s="278">
        <v>0.140000000596046</v>
      </c>
      <c r="P246" s="277" t="s">
        <v>501</v>
      </c>
      <c r="Q246" s="279">
        <v>0</v>
      </c>
      <c r="R246" s="277" t="s">
        <v>544</v>
      </c>
      <c r="S246" s="280">
        <v>0</v>
      </c>
      <c r="T246" s="277" t="s">
        <v>545</v>
      </c>
      <c r="U246" s="280">
        <v>0</v>
      </c>
      <c r="V246" s="277" t="s">
        <v>546</v>
      </c>
      <c r="W246" s="280">
        <v>0</v>
      </c>
      <c r="X246" s="277" t="s">
        <v>507</v>
      </c>
      <c r="Y246" s="280">
        <v>0.37999999523162797</v>
      </c>
      <c r="Z246" s="277" t="s">
        <v>466</v>
      </c>
      <c r="AA246" s="280">
        <v>0.18999999761581399</v>
      </c>
      <c r="AB246" s="281" t="s">
        <v>547</v>
      </c>
      <c r="AC246" s="282">
        <v>0.25</v>
      </c>
      <c r="AE246" s="274" t="str">
        <f t="shared" ca="1" si="48"/>
        <v>ARSUS ENERGÍA, S.L</v>
      </c>
      <c r="AF246" s="283">
        <f t="shared" ca="1" si="49"/>
        <v>0.25</v>
      </c>
    </row>
    <row r="247" spans="3:32" ht="17.25" customHeight="1" x14ac:dyDescent="0.3">
      <c r="C247" s="287" t="s">
        <v>548</v>
      </c>
      <c r="J247" s="286" t="s">
        <v>549</v>
      </c>
      <c r="K247" s="278">
        <v>0.36</v>
      </c>
      <c r="L247" s="277" t="s">
        <v>550</v>
      </c>
      <c r="M247" s="278">
        <v>0</v>
      </c>
      <c r="N247" s="277" t="s">
        <v>515</v>
      </c>
      <c r="O247" s="278">
        <v>0</v>
      </c>
      <c r="P247" s="277" t="s">
        <v>506</v>
      </c>
      <c r="Q247" s="279">
        <v>0</v>
      </c>
      <c r="R247" s="277" t="s">
        <v>477</v>
      </c>
      <c r="S247" s="280">
        <v>0</v>
      </c>
      <c r="T247" s="277" t="s">
        <v>551</v>
      </c>
      <c r="U247" s="280">
        <v>0</v>
      </c>
      <c r="V247" s="277" t="s">
        <v>458</v>
      </c>
      <c r="W247" s="280">
        <v>0</v>
      </c>
      <c r="X247" s="288" t="s">
        <v>1022</v>
      </c>
      <c r="Y247" s="280">
        <v>0</v>
      </c>
      <c r="Z247" s="277" t="s">
        <v>459</v>
      </c>
      <c r="AA247" s="280">
        <v>0</v>
      </c>
      <c r="AB247" s="281" t="s">
        <v>504</v>
      </c>
      <c r="AC247" s="282">
        <v>0</v>
      </c>
      <c r="AE247" s="274" t="str">
        <f t="shared" ca="1" si="48"/>
        <v xml:space="preserve">ASAL DE ENERGÍA, S.L. </v>
      </c>
      <c r="AF247" s="283">
        <f t="shared" ca="1" si="49"/>
        <v>0</v>
      </c>
    </row>
    <row r="248" spans="3:32" ht="16.5" x14ac:dyDescent="0.3">
      <c r="C248" s="289" t="s">
        <v>449</v>
      </c>
      <c r="D248" s="289">
        <v>0</v>
      </c>
      <c r="J248" s="284"/>
      <c r="K248" s="284"/>
      <c r="L248" s="286" t="s">
        <v>542</v>
      </c>
      <c r="M248" s="278">
        <v>0.4</v>
      </c>
      <c r="N248" s="277" t="s">
        <v>517</v>
      </c>
      <c r="O248" s="278">
        <v>0.15999999642372101</v>
      </c>
      <c r="P248" s="277" t="s">
        <v>532</v>
      </c>
      <c r="Q248" s="279">
        <v>0</v>
      </c>
      <c r="R248" s="277" t="s">
        <v>480</v>
      </c>
      <c r="S248" s="280">
        <v>0.37999999523162797</v>
      </c>
      <c r="T248" s="277" t="s">
        <v>487</v>
      </c>
      <c r="U248" s="280">
        <v>0</v>
      </c>
      <c r="V248" s="277" t="s">
        <v>500</v>
      </c>
      <c r="W248" s="280">
        <v>0</v>
      </c>
      <c r="X248" s="277" t="s">
        <v>475</v>
      </c>
      <c r="Y248" s="280">
        <v>0</v>
      </c>
      <c r="Z248" s="277" t="s">
        <v>482</v>
      </c>
      <c r="AA248" s="280">
        <v>0</v>
      </c>
      <c r="AB248" s="281" t="s">
        <v>552</v>
      </c>
      <c r="AC248" s="282">
        <v>0</v>
      </c>
      <c r="AE248" s="274" t="str">
        <f t="shared" ca="1" si="48"/>
        <v>ATENCO ENERGÍA SL</v>
      </c>
      <c r="AF248" s="283">
        <f t="shared" ca="1" si="49"/>
        <v>0</v>
      </c>
    </row>
    <row r="249" spans="3:32" ht="17.25" customHeight="1" x14ac:dyDescent="0.3">
      <c r="C249" s="289" t="s">
        <v>136</v>
      </c>
      <c r="D249" s="289">
        <v>0.16</v>
      </c>
      <c r="E249" s="383"/>
      <c r="J249" s="284"/>
      <c r="K249" s="284"/>
      <c r="L249" s="286" t="s">
        <v>549</v>
      </c>
      <c r="M249" s="278">
        <v>0.4</v>
      </c>
      <c r="N249" s="277" t="s">
        <v>522</v>
      </c>
      <c r="O249" s="278">
        <v>0</v>
      </c>
      <c r="P249" s="277" t="s">
        <v>511</v>
      </c>
      <c r="Q249" s="279">
        <v>0.18999999761581399</v>
      </c>
      <c r="R249" s="277" t="s">
        <v>493</v>
      </c>
      <c r="S249" s="280">
        <v>0.33000001311302202</v>
      </c>
      <c r="T249" s="277" t="s">
        <v>553</v>
      </c>
      <c r="U249" s="280">
        <v>0.36000001430511502</v>
      </c>
      <c r="V249" s="277" t="s">
        <v>534</v>
      </c>
      <c r="W249" s="280">
        <v>0</v>
      </c>
      <c r="X249" s="277" t="s">
        <v>554</v>
      </c>
      <c r="Y249" s="280">
        <v>0</v>
      </c>
      <c r="Z249" s="277" t="s">
        <v>555</v>
      </c>
      <c r="AA249" s="280">
        <v>0</v>
      </c>
      <c r="AB249" s="281" t="s">
        <v>526</v>
      </c>
      <c r="AC249" s="282">
        <v>0.21</v>
      </c>
      <c r="AE249" s="274" t="str">
        <f t="shared" ca="1" si="48"/>
        <v>ATLAS ENERGÍA COMERCIAL, S.L.</v>
      </c>
      <c r="AF249" s="283">
        <f t="shared" ca="1" si="49"/>
        <v>0.21</v>
      </c>
    </row>
    <row r="250" spans="3:32" ht="16.5" x14ac:dyDescent="0.3">
      <c r="C250" s="289" t="s">
        <v>73</v>
      </c>
      <c r="D250" s="289" t="s">
        <v>280</v>
      </c>
      <c r="J250" s="284"/>
      <c r="K250" s="284"/>
      <c r="L250" s="284"/>
      <c r="M250" s="284"/>
      <c r="N250" s="277" t="s">
        <v>525</v>
      </c>
      <c r="O250" s="278">
        <v>0.20999999344348899</v>
      </c>
      <c r="P250" s="277" t="s">
        <v>543</v>
      </c>
      <c r="Q250" s="279">
        <v>0.140000000596046</v>
      </c>
      <c r="R250" s="277" t="s">
        <v>556</v>
      </c>
      <c r="S250" s="280">
        <v>0.40000000596046498</v>
      </c>
      <c r="T250" s="277" t="s">
        <v>514</v>
      </c>
      <c r="U250" s="280">
        <v>0</v>
      </c>
      <c r="V250" s="277" t="s">
        <v>538</v>
      </c>
      <c r="W250" s="280">
        <v>0</v>
      </c>
      <c r="X250" s="277" t="s">
        <v>471</v>
      </c>
      <c r="Y250" s="280">
        <v>0</v>
      </c>
      <c r="Z250" s="277" t="s">
        <v>557</v>
      </c>
      <c r="AA250" s="280">
        <v>0.28999999165535001</v>
      </c>
      <c r="AB250" s="281" t="s">
        <v>467</v>
      </c>
      <c r="AC250" s="282">
        <v>0</v>
      </c>
      <c r="AE250" s="274" t="str">
        <f t="shared" ca="1" si="48"/>
        <v>AUDAX ENERGÍA, S.L.U.</v>
      </c>
      <c r="AF250" s="283">
        <f t="shared" ca="1" si="49"/>
        <v>0</v>
      </c>
    </row>
    <row r="251" spans="3:32" ht="16.5" x14ac:dyDescent="0.3">
      <c r="J251" s="284"/>
      <c r="K251" s="284"/>
      <c r="L251" s="284"/>
      <c r="M251" s="284"/>
      <c r="N251" s="277" t="s">
        <v>524</v>
      </c>
      <c r="O251" s="278">
        <v>0.119999997317791</v>
      </c>
      <c r="P251" s="277" t="s">
        <v>515</v>
      </c>
      <c r="Q251" s="279">
        <v>0</v>
      </c>
      <c r="R251" s="277" t="s">
        <v>558</v>
      </c>
      <c r="S251" s="280">
        <v>0</v>
      </c>
      <c r="T251" s="277" t="s">
        <v>559</v>
      </c>
      <c r="U251" s="280">
        <v>0</v>
      </c>
      <c r="V251" s="277" t="s">
        <v>545</v>
      </c>
      <c r="W251" s="280">
        <v>0</v>
      </c>
      <c r="X251" s="277" t="s">
        <v>123</v>
      </c>
      <c r="Y251" s="280">
        <v>0</v>
      </c>
      <c r="Z251" s="277" t="s">
        <v>560</v>
      </c>
      <c r="AA251" s="280">
        <v>0</v>
      </c>
      <c r="AB251" s="281" t="s">
        <v>460</v>
      </c>
      <c r="AC251" s="282">
        <v>0</v>
      </c>
      <c r="AE251" s="274" t="str">
        <f t="shared" ca="1" si="48"/>
        <v>AURA ENERGÍA, S.L.</v>
      </c>
      <c r="AF251" s="283">
        <f t="shared" ca="1" si="49"/>
        <v>0</v>
      </c>
    </row>
    <row r="252" spans="3:32" ht="16.5" x14ac:dyDescent="0.3">
      <c r="J252" s="284"/>
      <c r="K252" s="284"/>
      <c r="L252" s="284"/>
      <c r="M252" s="284"/>
      <c r="N252" s="277" t="s">
        <v>528</v>
      </c>
      <c r="O252" s="278">
        <v>0</v>
      </c>
      <c r="P252" s="277" t="s">
        <v>561</v>
      </c>
      <c r="Q252" s="279">
        <v>0.119999997317791</v>
      </c>
      <c r="R252" s="277" t="s">
        <v>562</v>
      </c>
      <c r="S252" s="280">
        <v>9.9999997764825804E-3</v>
      </c>
      <c r="T252" s="277" t="s">
        <v>563</v>
      </c>
      <c r="U252" s="280">
        <v>0.239999994635582</v>
      </c>
      <c r="V252" s="277" t="s">
        <v>551</v>
      </c>
      <c r="W252" s="280">
        <v>0</v>
      </c>
      <c r="X252" s="277" t="s">
        <v>564</v>
      </c>
      <c r="Y252" s="280">
        <v>0</v>
      </c>
      <c r="Z252" s="277" t="s">
        <v>540</v>
      </c>
      <c r="AA252" s="280">
        <v>0</v>
      </c>
      <c r="AB252" s="281" t="s">
        <v>516</v>
      </c>
      <c r="AC252" s="282">
        <v>0</v>
      </c>
      <c r="AE252" s="274" t="str">
        <f t="shared" ca="1" si="48"/>
        <v>AUSARTA PRIMA, S.L.</v>
      </c>
      <c r="AF252" s="283">
        <f t="shared" ca="1" si="49"/>
        <v>0</v>
      </c>
    </row>
    <row r="253" spans="3:32" ht="16.5" x14ac:dyDescent="0.3">
      <c r="J253" s="284"/>
      <c r="K253" s="284"/>
      <c r="L253" s="284"/>
      <c r="M253" s="284"/>
      <c r="N253" s="277" t="s">
        <v>565</v>
      </c>
      <c r="O253" s="278">
        <v>0.34000000357627902</v>
      </c>
      <c r="P253" s="277" t="s">
        <v>522</v>
      </c>
      <c r="Q253" s="279">
        <v>3.9999999105930301E-2</v>
      </c>
      <c r="R253" s="277" t="s">
        <v>484</v>
      </c>
      <c r="S253" s="280">
        <v>0</v>
      </c>
      <c r="T253" s="277" t="s">
        <v>566</v>
      </c>
      <c r="U253" s="280">
        <v>0.239999994635582</v>
      </c>
      <c r="V253" s="277" t="s">
        <v>567</v>
      </c>
      <c r="W253" s="280">
        <v>0</v>
      </c>
      <c r="X253" s="277" t="s">
        <v>568</v>
      </c>
      <c r="Y253" s="280">
        <v>0</v>
      </c>
      <c r="Z253" s="277" t="s">
        <v>1022</v>
      </c>
      <c r="AA253" s="280">
        <v>0</v>
      </c>
      <c r="AB253" s="281" t="s">
        <v>466</v>
      </c>
      <c r="AC253" s="282">
        <v>0.2</v>
      </c>
      <c r="AE253" s="274" t="str">
        <f t="shared" ca="1" si="48"/>
        <v>AVANZALIA ENERGÍA COMERCIALIZADORA, S.A.</v>
      </c>
      <c r="AF253" s="283">
        <f t="shared" ca="1" si="49"/>
        <v>0.2</v>
      </c>
    </row>
    <row r="254" spans="3:32" ht="16.5" x14ac:dyDescent="0.3">
      <c r="J254" s="284"/>
      <c r="K254" s="284"/>
      <c r="L254" s="284"/>
      <c r="M254" s="284"/>
      <c r="N254" s="277" t="s">
        <v>531</v>
      </c>
      <c r="O254" s="278">
        <v>0</v>
      </c>
      <c r="P254" s="277" t="s">
        <v>525</v>
      </c>
      <c r="Q254" s="279">
        <v>0.20000000298023199</v>
      </c>
      <c r="R254" s="277" t="s">
        <v>486</v>
      </c>
      <c r="S254" s="280">
        <v>0.31000000238418601</v>
      </c>
      <c r="T254" s="277" t="s">
        <v>569</v>
      </c>
      <c r="U254" s="280">
        <v>0</v>
      </c>
      <c r="V254" s="277" t="s">
        <v>570</v>
      </c>
      <c r="W254" s="280">
        <v>0</v>
      </c>
      <c r="X254" s="277" t="s">
        <v>546</v>
      </c>
      <c r="Y254" s="280">
        <v>0</v>
      </c>
      <c r="Z254" s="277" t="s">
        <v>475</v>
      </c>
      <c r="AA254" s="280">
        <v>0</v>
      </c>
      <c r="AB254" s="281" t="s">
        <v>459</v>
      </c>
      <c r="AC254" s="282">
        <v>0</v>
      </c>
      <c r="AE254" s="274" t="str">
        <f t="shared" ca="1" si="48"/>
        <v>AXPO IBERIA, S.L.</v>
      </c>
      <c r="AF254" s="283">
        <f t="shared" ca="1" si="49"/>
        <v>0</v>
      </c>
    </row>
    <row r="255" spans="3:32" ht="16.5" x14ac:dyDescent="0.3">
      <c r="J255" s="284"/>
      <c r="K255" s="284"/>
      <c r="L255" s="284"/>
      <c r="M255" s="284"/>
      <c r="N255" s="277" t="s">
        <v>571</v>
      </c>
      <c r="O255" s="278">
        <v>0</v>
      </c>
      <c r="P255" s="277" t="s">
        <v>524</v>
      </c>
      <c r="Q255" s="279">
        <v>0.129999995231628</v>
      </c>
      <c r="R255" s="277" t="s">
        <v>512</v>
      </c>
      <c r="S255" s="280">
        <v>0.36000001430511502</v>
      </c>
      <c r="T255" s="277" t="s">
        <v>572</v>
      </c>
      <c r="U255" s="280">
        <v>0</v>
      </c>
      <c r="V255" s="277" t="s">
        <v>487</v>
      </c>
      <c r="W255" s="280">
        <v>0</v>
      </c>
      <c r="X255" s="277" t="s">
        <v>458</v>
      </c>
      <c r="Y255" s="280">
        <v>0</v>
      </c>
      <c r="Z255" s="277" t="s">
        <v>478</v>
      </c>
      <c r="AA255" s="280">
        <v>0.31000000238418601</v>
      </c>
      <c r="AB255" s="281" t="s">
        <v>482</v>
      </c>
      <c r="AC255" s="282">
        <v>0</v>
      </c>
      <c r="AE255" s="274" t="str">
        <f t="shared" ca="1" si="48"/>
        <v>BASSOLS ENERGÍA COMERCIAL, S.L.</v>
      </c>
      <c r="AF255" s="283">
        <f t="shared" ca="1" si="49"/>
        <v>0</v>
      </c>
    </row>
    <row r="256" spans="3:32" ht="16.5" x14ac:dyDescent="0.3">
      <c r="J256" s="284"/>
      <c r="K256" s="284"/>
      <c r="L256" s="284"/>
      <c r="M256" s="284"/>
      <c r="N256" s="277" t="s">
        <v>535</v>
      </c>
      <c r="O256" s="278">
        <v>0.36000001430511502</v>
      </c>
      <c r="P256" s="277" t="s">
        <v>528</v>
      </c>
      <c r="Q256" s="279">
        <v>0</v>
      </c>
      <c r="R256" s="277" t="s">
        <v>489</v>
      </c>
      <c r="S256" s="280">
        <v>0.34999999403953602</v>
      </c>
      <c r="T256" s="277" t="s">
        <v>573</v>
      </c>
      <c r="U256" s="280">
        <v>0</v>
      </c>
      <c r="V256" s="277" t="s">
        <v>553</v>
      </c>
      <c r="W256" s="280">
        <v>0</v>
      </c>
      <c r="X256" s="277" t="s">
        <v>500</v>
      </c>
      <c r="Y256" s="280">
        <v>0</v>
      </c>
      <c r="Z256" s="277" t="s">
        <v>471</v>
      </c>
      <c r="AA256" s="280">
        <v>0</v>
      </c>
      <c r="AB256" s="281" t="s">
        <v>555</v>
      </c>
      <c r="AC256" s="282">
        <v>0</v>
      </c>
      <c r="AE256" s="274" t="str">
        <f t="shared" ca="1" si="48"/>
        <v>BEYOND SUN SL</v>
      </c>
      <c r="AF256" s="283">
        <f t="shared" ca="1" si="49"/>
        <v>0</v>
      </c>
    </row>
    <row r="257" spans="10:32" ht="16.5" x14ac:dyDescent="0.3">
      <c r="J257" s="284"/>
      <c r="K257" s="284"/>
      <c r="L257" s="284"/>
      <c r="M257" s="284"/>
      <c r="N257" s="277" t="s">
        <v>550</v>
      </c>
      <c r="O257" s="278">
        <v>0</v>
      </c>
      <c r="P257" s="277" t="s">
        <v>565</v>
      </c>
      <c r="Q257" s="279">
        <v>0.34000000357627902</v>
      </c>
      <c r="R257" s="277" t="s">
        <v>492</v>
      </c>
      <c r="S257" s="280">
        <v>0.36000001430511502</v>
      </c>
      <c r="T257" s="277" t="s">
        <v>574</v>
      </c>
      <c r="U257" s="280">
        <v>0</v>
      </c>
      <c r="V257" s="277" t="s">
        <v>575</v>
      </c>
      <c r="W257" s="280">
        <v>0</v>
      </c>
      <c r="X257" s="277" t="s">
        <v>502</v>
      </c>
      <c r="Y257" s="280">
        <v>0</v>
      </c>
      <c r="Z257" s="277" t="s">
        <v>123</v>
      </c>
      <c r="AA257" s="280">
        <v>0</v>
      </c>
      <c r="AB257" s="281" t="s">
        <v>576</v>
      </c>
      <c r="AC257" s="282">
        <v>0.24</v>
      </c>
      <c r="AE257" s="274" t="str">
        <f t="shared" ca="1" si="48"/>
        <v>BIROU GAS S.L.</v>
      </c>
      <c r="AF257" s="283">
        <f t="shared" ca="1" si="49"/>
        <v>0.24</v>
      </c>
    </row>
    <row r="258" spans="10:32" ht="16.5" x14ac:dyDescent="0.3">
      <c r="N258" s="286" t="s">
        <v>542</v>
      </c>
      <c r="O258" s="278">
        <v>0.36</v>
      </c>
      <c r="P258" s="277" t="s">
        <v>577</v>
      </c>
      <c r="Q258" s="279">
        <v>0.37000000476837203</v>
      </c>
      <c r="R258" s="277" t="s">
        <v>536</v>
      </c>
      <c r="S258" s="280">
        <v>0.34999999403953602</v>
      </c>
      <c r="T258" s="277" t="s">
        <v>578</v>
      </c>
      <c r="U258" s="280">
        <v>2.9999999329447701E-2</v>
      </c>
      <c r="V258" s="277" t="s">
        <v>514</v>
      </c>
      <c r="W258" s="280">
        <v>0.259999990463257</v>
      </c>
      <c r="X258" s="277" t="s">
        <v>538</v>
      </c>
      <c r="Y258" s="280">
        <v>0</v>
      </c>
      <c r="Z258" s="277" t="s">
        <v>568</v>
      </c>
      <c r="AA258" s="280">
        <v>0</v>
      </c>
      <c r="AB258" s="281" t="s">
        <v>579</v>
      </c>
      <c r="AC258" s="282">
        <v>0</v>
      </c>
      <c r="AE258" s="274" t="str">
        <f t="shared" ca="1" si="48"/>
        <v>BON PREU, SAU</v>
      </c>
      <c r="AF258" s="283">
        <f t="shared" ca="1" si="49"/>
        <v>0</v>
      </c>
    </row>
    <row r="259" spans="10:32" ht="16.5" x14ac:dyDescent="0.3">
      <c r="N259" s="286" t="s">
        <v>549</v>
      </c>
      <c r="O259" s="278">
        <v>0.36</v>
      </c>
      <c r="P259" s="277" t="s">
        <v>531</v>
      </c>
      <c r="Q259" s="279">
        <v>0</v>
      </c>
      <c r="R259" s="277" t="s">
        <v>501</v>
      </c>
      <c r="S259" s="280">
        <v>0.140000000596046</v>
      </c>
      <c r="T259" s="277" t="s">
        <v>580</v>
      </c>
      <c r="U259" s="280">
        <v>0</v>
      </c>
      <c r="V259" s="277" t="s">
        <v>559</v>
      </c>
      <c r="W259" s="280">
        <v>1.9999999552965199E-2</v>
      </c>
      <c r="X259" s="277" t="s">
        <v>545</v>
      </c>
      <c r="Y259" s="280">
        <v>0</v>
      </c>
      <c r="Z259" s="277" t="s">
        <v>581</v>
      </c>
      <c r="AA259" s="280">
        <v>0.31000000238418601</v>
      </c>
      <c r="AB259" s="281" t="s">
        <v>582</v>
      </c>
      <c r="AC259" s="282">
        <v>0</v>
      </c>
      <c r="AE259" s="274" t="str">
        <f t="shared" ca="1" si="48"/>
        <v>BULB ENERGÍA IBÉRICA SL</v>
      </c>
      <c r="AF259" s="283">
        <f t="shared" ca="1" si="49"/>
        <v>0</v>
      </c>
    </row>
    <row r="260" spans="10:32" ht="16.5" x14ac:dyDescent="0.3">
      <c r="P260" s="277" t="s">
        <v>583</v>
      </c>
      <c r="Q260" s="279">
        <v>0</v>
      </c>
      <c r="R260" s="277" t="s">
        <v>506</v>
      </c>
      <c r="S260" s="280">
        <v>0</v>
      </c>
      <c r="T260" s="277" t="s">
        <v>584</v>
      </c>
      <c r="U260" s="280">
        <v>0</v>
      </c>
      <c r="V260" s="277" t="s">
        <v>585</v>
      </c>
      <c r="W260" s="280">
        <v>0</v>
      </c>
      <c r="X260" s="277" t="s">
        <v>551</v>
      </c>
      <c r="Y260" s="280">
        <v>0</v>
      </c>
      <c r="Z260" s="277" t="s">
        <v>546</v>
      </c>
      <c r="AA260" s="280">
        <v>7.0000000298023196E-2</v>
      </c>
      <c r="AB260" s="281" t="s">
        <v>586</v>
      </c>
      <c r="AC260" s="282">
        <v>0</v>
      </c>
      <c r="AE260" s="274" t="str">
        <f t="shared" ca="1" si="48"/>
        <v>BY ENERGYC ENERGÍA EFICIENTE, S.L.</v>
      </c>
      <c r="AF260" s="283">
        <f t="shared" ca="1" si="49"/>
        <v>0</v>
      </c>
    </row>
    <row r="261" spans="10:32" ht="16.5" x14ac:dyDescent="0.3">
      <c r="P261" s="277" t="s">
        <v>587</v>
      </c>
      <c r="Q261" s="279">
        <v>0</v>
      </c>
      <c r="R261" s="277" t="s">
        <v>588</v>
      </c>
      <c r="S261" s="280">
        <v>0</v>
      </c>
      <c r="T261" s="277" t="s">
        <v>589</v>
      </c>
      <c r="U261" s="280">
        <v>0</v>
      </c>
      <c r="V261" s="277" t="s">
        <v>563</v>
      </c>
      <c r="W261" s="280">
        <v>0.259999990463257</v>
      </c>
      <c r="X261" s="277" t="s">
        <v>567</v>
      </c>
      <c r="Y261" s="280">
        <v>0</v>
      </c>
      <c r="Z261" s="277" t="s">
        <v>590</v>
      </c>
      <c r="AA261" s="280">
        <v>0</v>
      </c>
      <c r="AB261" s="281" t="s">
        <v>540</v>
      </c>
      <c r="AC261" s="282">
        <v>0</v>
      </c>
      <c r="AE261" s="274" t="str">
        <f t="shared" ca="1" si="48"/>
        <v>CATGAS ENERGÍA, S.A.</v>
      </c>
      <c r="AF261" s="283">
        <f t="shared" ca="1" si="49"/>
        <v>0</v>
      </c>
    </row>
    <row r="262" spans="10:32" ht="39.75" x14ac:dyDescent="0.3">
      <c r="P262" s="277" t="s">
        <v>591</v>
      </c>
      <c r="Q262" s="279">
        <v>1.9999999552965199E-2</v>
      </c>
      <c r="R262" s="277" t="s">
        <v>532</v>
      </c>
      <c r="S262" s="280">
        <v>9.9999997764825804E-3</v>
      </c>
      <c r="T262" s="277" t="s">
        <v>592</v>
      </c>
      <c r="U262" s="280">
        <v>0</v>
      </c>
      <c r="V262" s="277" t="s">
        <v>593</v>
      </c>
      <c r="W262" s="280">
        <v>0.25</v>
      </c>
      <c r="X262" s="277" t="s">
        <v>570</v>
      </c>
      <c r="Y262" s="280">
        <v>0</v>
      </c>
      <c r="Z262" s="277" t="s">
        <v>458</v>
      </c>
      <c r="AA262" s="280">
        <v>9.9999997764825804E-3</v>
      </c>
      <c r="AB262" s="290" t="s">
        <v>1022</v>
      </c>
      <c r="AC262" s="282">
        <v>0</v>
      </c>
      <c r="AE262" s="274" t="str">
        <f t="shared" ca="1" si="48"/>
        <v>CEPSA COMERCIAL PETRÓLEO, S.A.U.</v>
      </c>
      <c r="AF262" s="283">
        <f t="shared" ca="1" si="49"/>
        <v>0</v>
      </c>
    </row>
    <row r="263" spans="10:32" ht="16.5" x14ac:dyDescent="0.3">
      <c r="P263" s="277" t="s">
        <v>550</v>
      </c>
      <c r="Q263" s="279">
        <v>0.15999999642372101</v>
      </c>
      <c r="R263" s="277" t="s">
        <v>511</v>
      </c>
      <c r="S263" s="280">
        <v>0.230000004172325</v>
      </c>
      <c r="T263" s="277" t="s">
        <v>594</v>
      </c>
      <c r="U263" s="280">
        <v>0</v>
      </c>
      <c r="V263" s="277" t="s">
        <v>569</v>
      </c>
      <c r="W263" s="280">
        <v>0</v>
      </c>
      <c r="X263" s="277" t="s">
        <v>487</v>
      </c>
      <c r="Y263" s="280">
        <v>9.9999997764825804E-3</v>
      </c>
      <c r="Z263" s="277" t="s">
        <v>500</v>
      </c>
      <c r="AA263" s="280">
        <v>0</v>
      </c>
      <c r="AB263" s="281" t="s">
        <v>475</v>
      </c>
      <c r="AC263" s="282">
        <v>0</v>
      </c>
      <c r="AE263" s="274" t="str">
        <f t="shared" ca="1" si="48"/>
        <v>CEPSA GAS Y ELECTRICIDAD, S.A.</v>
      </c>
      <c r="AF263" s="283">
        <f t="shared" ca="1" si="49"/>
        <v>0</v>
      </c>
    </row>
    <row r="264" spans="10:32" ht="16.5" x14ac:dyDescent="0.3">
      <c r="P264" s="286" t="s">
        <v>542</v>
      </c>
      <c r="Q264" s="279">
        <v>0.37</v>
      </c>
      <c r="R264" s="277" t="s">
        <v>543</v>
      </c>
      <c r="S264" s="280">
        <v>0.30000001192092901</v>
      </c>
      <c r="T264" s="277" t="s">
        <v>595</v>
      </c>
      <c r="U264" s="280">
        <v>0</v>
      </c>
      <c r="V264" s="277" t="s">
        <v>596</v>
      </c>
      <c r="W264" s="280">
        <v>0</v>
      </c>
      <c r="X264" s="277" t="s">
        <v>553</v>
      </c>
      <c r="Y264" s="280">
        <v>0</v>
      </c>
      <c r="Z264" s="277" t="s">
        <v>538</v>
      </c>
      <c r="AA264" s="280">
        <v>0</v>
      </c>
      <c r="AB264" s="281" t="s">
        <v>554</v>
      </c>
      <c r="AC264" s="282">
        <v>0.25</v>
      </c>
      <c r="AE264" s="274" t="str">
        <f t="shared" ca="1" si="48"/>
        <v>CHITAHI ENERGY, S.L.</v>
      </c>
      <c r="AF264" s="283">
        <f t="shared" ca="1" si="49"/>
        <v>0.25</v>
      </c>
    </row>
    <row r="265" spans="10:32" ht="16.5" x14ac:dyDescent="0.3">
      <c r="P265" s="286" t="s">
        <v>549</v>
      </c>
      <c r="Q265" s="279">
        <v>0.37</v>
      </c>
      <c r="R265" s="277" t="s">
        <v>515</v>
      </c>
      <c r="S265" s="280">
        <v>0</v>
      </c>
      <c r="T265" s="277" t="s">
        <v>529</v>
      </c>
      <c r="U265" s="280">
        <v>0</v>
      </c>
      <c r="V265" s="277" t="s">
        <v>572</v>
      </c>
      <c r="W265" s="280">
        <v>0</v>
      </c>
      <c r="X265" s="277" t="s">
        <v>597</v>
      </c>
      <c r="Y265" s="280">
        <v>0</v>
      </c>
      <c r="Z265" s="277" t="s">
        <v>545</v>
      </c>
      <c r="AA265" s="280">
        <v>9.9999997764825804E-3</v>
      </c>
      <c r="AB265" s="281" t="s">
        <v>478</v>
      </c>
      <c r="AC265" s="282">
        <v>0.25</v>
      </c>
      <c r="AE265" s="274" t="str">
        <f t="shared" ca="1" si="48"/>
        <v>CIDE HCENERGÍA S.A.</v>
      </c>
      <c r="AF265" s="283">
        <f t="shared" ca="1" si="49"/>
        <v>0.25</v>
      </c>
    </row>
    <row r="266" spans="10:32" ht="16.5" x14ac:dyDescent="0.3">
      <c r="R266" s="277" t="s">
        <v>561</v>
      </c>
      <c r="S266" s="280">
        <v>0.20999999344348899</v>
      </c>
      <c r="T266" s="277" t="s">
        <v>533</v>
      </c>
      <c r="U266" s="280">
        <v>0</v>
      </c>
      <c r="V266" s="277" t="s">
        <v>573</v>
      </c>
      <c r="W266" s="280">
        <v>0</v>
      </c>
      <c r="X266" s="277" t="s">
        <v>514</v>
      </c>
      <c r="Y266" s="280">
        <v>0.40000000596046498</v>
      </c>
      <c r="Z266" s="277" t="s">
        <v>502</v>
      </c>
      <c r="AA266" s="280">
        <v>0</v>
      </c>
      <c r="AB266" s="281" t="s">
        <v>123</v>
      </c>
      <c r="AC266" s="282">
        <v>0</v>
      </c>
      <c r="AE266" s="274" t="str">
        <f t="shared" ca="1" si="48"/>
        <v>COMERCIALIZADORA DE ELECTRICIDAD Y GAS DEL MEDITERRÁNEO, S.L.</v>
      </c>
      <c r="AF266" s="283">
        <f t="shared" ca="1" si="49"/>
        <v>0</v>
      </c>
    </row>
    <row r="267" spans="10:32" ht="16.5" x14ac:dyDescent="0.3">
      <c r="R267" s="277" t="s">
        <v>598</v>
      </c>
      <c r="S267" s="280">
        <v>0.10000000149011599</v>
      </c>
      <c r="T267" s="277" t="s">
        <v>537</v>
      </c>
      <c r="U267" s="280">
        <v>3.9999999105930301E-2</v>
      </c>
      <c r="V267" s="277" t="s">
        <v>578</v>
      </c>
      <c r="W267" s="280">
        <v>0</v>
      </c>
      <c r="X267" s="277" t="s">
        <v>559</v>
      </c>
      <c r="Y267" s="280">
        <v>0</v>
      </c>
      <c r="Z267" s="277" t="s">
        <v>551</v>
      </c>
      <c r="AA267" s="280">
        <v>0</v>
      </c>
      <c r="AB267" s="281" t="s">
        <v>564</v>
      </c>
      <c r="AC267" s="282">
        <v>0</v>
      </c>
      <c r="AE267" s="274" t="str">
        <f t="shared" ca="1" si="48"/>
        <v>COMERCIALIZADORA DE ENERGÍA DIRECTA, S.L.</v>
      </c>
      <c r="AF267" s="283">
        <f t="shared" ca="1" si="49"/>
        <v>0</v>
      </c>
    </row>
    <row r="268" spans="10:32" ht="16.5" x14ac:dyDescent="0.3">
      <c r="R268" s="277" t="s">
        <v>599</v>
      </c>
      <c r="S268" s="280">
        <v>0</v>
      </c>
      <c r="T268" s="277" t="s">
        <v>600</v>
      </c>
      <c r="U268" s="280">
        <v>0</v>
      </c>
      <c r="V268" s="277" t="s">
        <v>580</v>
      </c>
      <c r="W268" s="280">
        <v>0</v>
      </c>
      <c r="X268" s="277" t="s">
        <v>601</v>
      </c>
      <c r="Y268" s="280">
        <v>0.40000000596046498</v>
      </c>
      <c r="Z268" s="277" t="s">
        <v>567</v>
      </c>
      <c r="AA268" s="280">
        <v>0</v>
      </c>
      <c r="AB268" s="281" t="s">
        <v>519</v>
      </c>
      <c r="AC268" s="282">
        <v>0</v>
      </c>
      <c r="AE268" s="274" t="str">
        <f t="shared" ca="1" si="48"/>
        <v>COMERCIALIZADORA ELÉCTRICA DE CADIZ, S.A.</v>
      </c>
      <c r="AF268" s="283">
        <f t="shared" ca="1" si="49"/>
        <v>0</v>
      </c>
    </row>
    <row r="269" spans="10:32" ht="18" customHeight="1" x14ac:dyDescent="0.3">
      <c r="R269" s="277" t="s">
        <v>522</v>
      </c>
      <c r="S269" s="280">
        <v>0</v>
      </c>
      <c r="T269" s="277" t="s">
        <v>602</v>
      </c>
      <c r="U269" s="280">
        <v>0</v>
      </c>
      <c r="V269" s="277" t="s">
        <v>584</v>
      </c>
      <c r="W269" s="280">
        <v>0</v>
      </c>
      <c r="X269" s="277" t="s">
        <v>585</v>
      </c>
      <c r="Y269" s="280">
        <v>0.15000000596046401</v>
      </c>
      <c r="Z269" s="277" t="s">
        <v>570</v>
      </c>
      <c r="AA269" s="280">
        <v>0</v>
      </c>
      <c r="AB269" s="281" t="s">
        <v>603</v>
      </c>
      <c r="AC269" s="282">
        <v>0</v>
      </c>
      <c r="AE269" s="274" t="str">
        <f t="shared" ca="1" si="48"/>
        <v>COMERCIALIZADORA ELÉCTRICA PENINSULAR S.L.</v>
      </c>
      <c r="AF269" s="283">
        <f t="shared" ca="1" si="49"/>
        <v>0</v>
      </c>
    </row>
    <row r="270" spans="10:32" ht="16.5" x14ac:dyDescent="0.3">
      <c r="R270" s="277" t="s">
        <v>604</v>
      </c>
      <c r="S270" s="280">
        <v>0</v>
      </c>
      <c r="T270" s="277" t="s">
        <v>544</v>
      </c>
      <c r="U270" s="280">
        <v>0</v>
      </c>
      <c r="V270" s="277" t="s">
        <v>605</v>
      </c>
      <c r="W270" s="280">
        <v>0.30000001192092901</v>
      </c>
      <c r="X270" s="277" t="s">
        <v>606</v>
      </c>
      <c r="Y270" s="280">
        <v>0</v>
      </c>
      <c r="Z270" s="277" t="s">
        <v>487</v>
      </c>
      <c r="AA270" s="280">
        <v>0</v>
      </c>
      <c r="AB270" s="281" t="s">
        <v>546</v>
      </c>
      <c r="AC270" s="282">
        <v>0</v>
      </c>
      <c r="AE270" s="274" t="str">
        <f t="shared" ca="1" si="48"/>
        <v>COMERCIALIZADORA ELÉCTRICA TALAYUELAS, S.L.</v>
      </c>
      <c r="AF270" s="283">
        <f t="shared" ca="1" si="49"/>
        <v>0</v>
      </c>
    </row>
    <row r="271" spans="10:32" ht="16.5" x14ac:dyDescent="0.3">
      <c r="R271" s="277" t="s">
        <v>607</v>
      </c>
      <c r="S271" s="280">
        <v>0.17000000178813901</v>
      </c>
      <c r="T271" s="277" t="s">
        <v>477</v>
      </c>
      <c r="U271" s="280">
        <v>0</v>
      </c>
      <c r="V271" s="277" t="s">
        <v>589</v>
      </c>
      <c r="W271" s="280">
        <v>5.9999998658895499E-2</v>
      </c>
      <c r="X271" s="277" t="s">
        <v>563</v>
      </c>
      <c r="Y271" s="280">
        <v>0.230000004172325</v>
      </c>
      <c r="Z271" s="277" t="s">
        <v>553</v>
      </c>
      <c r="AA271" s="280">
        <v>0</v>
      </c>
      <c r="AB271" s="281" t="s">
        <v>590</v>
      </c>
      <c r="AC271" s="282">
        <v>0</v>
      </c>
      <c r="AE271" s="274" t="str">
        <f t="shared" ca="1" si="48"/>
        <v>COMERCIALIZADORA ENERGÉTICA SOSTENIBLE, S.A.U.</v>
      </c>
      <c r="AF271" s="283">
        <f t="shared" ca="1" si="49"/>
        <v>0</v>
      </c>
    </row>
    <row r="272" spans="10:32" ht="16.5" x14ac:dyDescent="0.3">
      <c r="R272" s="277" t="s">
        <v>525</v>
      </c>
      <c r="S272" s="280">
        <v>0.230000004172325</v>
      </c>
      <c r="T272" s="277" t="s">
        <v>480</v>
      </c>
      <c r="U272" s="280">
        <v>0.34000000357627902</v>
      </c>
      <c r="V272" s="277" t="s">
        <v>592</v>
      </c>
      <c r="W272" s="280">
        <v>0</v>
      </c>
      <c r="X272" s="277" t="s">
        <v>593</v>
      </c>
      <c r="Y272" s="280">
        <v>0.230000004172325</v>
      </c>
      <c r="Z272" s="277" t="s">
        <v>575</v>
      </c>
      <c r="AA272" s="280">
        <v>0</v>
      </c>
      <c r="AB272" s="281" t="s">
        <v>458</v>
      </c>
      <c r="AC272" s="282">
        <v>0</v>
      </c>
      <c r="AE272" s="274" t="str">
        <f t="shared" ca="1" si="48"/>
        <v>COMERCIALIZADORA LERSA , S.L.</v>
      </c>
      <c r="AF272" s="283">
        <f t="shared" ca="1" si="49"/>
        <v>0</v>
      </c>
    </row>
    <row r="273" spans="10:32" ht="16.5" x14ac:dyDescent="0.3">
      <c r="R273" s="277" t="s">
        <v>524</v>
      </c>
      <c r="S273" s="280">
        <v>0.119999997317791</v>
      </c>
      <c r="T273" s="277" t="s">
        <v>493</v>
      </c>
      <c r="U273" s="280">
        <v>0.30000001192092901</v>
      </c>
      <c r="V273" s="277" t="s">
        <v>529</v>
      </c>
      <c r="W273" s="280">
        <v>0</v>
      </c>
      <c r="X273" s="277" t="s">
        <v>569</v>
      </c>
      <c r="Y273" s="280">
        <v>0.34999999403953602</v>
      </c>
      <c r="Z273" s="277" t="s">
        <v>514</v>
      </c>
      <c r="AA273" s="280">
        <v>0.28000000119209301</v>
      </c>
      <c r="AB273" s="281" t="s">
        <v>608</v>
      </c>
      <c r="AC273" s="282">
        <v>0</v>
      </c>
      <c r="AE273" s="274" t="str">
        <f t="shared" ca="1" si="48"/>
        <v>COMERCIALIZADORA TORRES ENERGÍA, S.L.</v>
      </c>
      <c r="AF273" s="283">
        <f t="shared" ca="1" si="49"/>
        <v>0</v>
      </c>
    </row>
    <row r="274" spans="10:32" ht="16.5" x14ac:dyDescent="0.3">
      <c r="R274" s="277" t="s">
        <v>528</v>
      </c>
      <c r="S274" s="280">
        <v>1.9999999552965199E-2</v>
      </c>
      <c r="T274" s="277" t="s">
        <v>609</v>
      </c>
      <c r="U274" s="280">
        <v>0</v>
      </c>
      <c r="V274" s="277" t="s">
        <v>533</v>
      </c>
      <c r="W274" s="280">
        <v>0</v>
      </c>
      <c r="X274" s="277" t="s">
        <v>610</v>
      </c>
      <c r="Y274" s="280">
        <v>0.40999999642372098</v>
      </c>
      <c r="Z274" s="277" t="s">
        <v>559</v>
      </c>
      <c r="AA274" s="280">
        <v>0.230000004172325</v>
      </c>
      <c r="AB274" s="281" t="s">
        <v>500</v>
      </c>
      <c r="AC274" s="282">
        <v>0</v>
      </c>
      <c r="AE274" s="274" t="str">
        <f t="shared" ca="1" si="48"/>
        <v>COMPAÑÍA ESCANDINAVA DE ELECTRICIDAD EN ESPAÑA, S.L.</v>
      </c>
      <c r="AF274" s="283">
        <f t="shared" ca="1" si="49"/>
        <v>0</v>
      </c>
    </row>
    <row r="275" spans="10:32" ht="16.5" x14ac:dyDescent="0.3">
      <c r="R275" s="277" t="s">
        <v>577</v>
      </c>
      <c r="S275" s="280">
        <v>3.9999999105930301E-2</v>
      </c>
      <c r="T275" s="277" t="s">
        <v>611</v>
      </c>
      <c r="U275" s="280">
        <v>0</v>
      </c>
      <c r="V275" s="277" t="s">
        <v>537</v>
      </c>
      <c r="W275" s="280">
        <v>5.9999998658895499E-2</v>
      </c>
      <c r="X275" s="277" t="s">
        <v>596</v>
      </c>
      <c r="Y275" s="280">
        <v>0</v>
      </c>
      <c r="Z275" s="277" t="s">
        <v>601</v>
      </c>
      <c r="AA275" s="280">
        <v>0.15999999642372101</v>
      </c>
      <c r="AB275" s="281" t="s">
        <v>612</v>
      </c>
      <c r="AC275" s="282">
        <v>0</v>
      </c>
      <c r="AE275" s="274" t="str">
        <f t="shared" ca="1" si="48"/>
        <v>CONECTA ENERGÍA VERDE, S.L.</v>
      </c>
      <c r="AF275" s="283">
        <f t="shared" ca="1" si="49"/>
        <v>0</v>
      </c>
    </row>
    <row r="276" spans="10:32" ht="16.5" x14ac:dyDescent="0.3">
      <c r="R276" s="277" t="s">
        <v>613</v>
      </c>
      <c r="S276" s="280">
        <v>0</v>
      </c>
      <c r="T276" s="277" t="s">
        <v>556</v>
      </c>
      <c r="U276" s="280">
        <v>0.31999999284744302</v>
      </c>
      <c r="V276" s="277" t="s">
        <v>544</v>
      </c>
      <c r="W276" s="280">
        <v>0</v>
      </c>
      <c r="X276" s="277" t="s">
        <v>614</v>
      </c>
      <c r="Y276" s="280">
        <v>0.40999999642372098</v>
      </c>
      <c r="Z276" s="277" t="s">
        <v>585</v>
      </c>
      <c r="AA276" s="280">
        <v>0.30000001192092901</v>
      </c>
      <c r="AB276" s="281" t="s">
        <v>534</v>
      </c>
      <c r="AC276" s="282">
        <v>0</v>
      </c>
      <c r="AE276" s="274" t="str">
        <f t="shared" ca="1" si="48"/>
        <v>COOPERATIVA ELÉCTRICA DE CASTELLAR, S.C.V.</v>
      </c>
      <c r="AF276" s="283">
        <f t="shared" ca="1" si="49"/>
        <v>0</v>
      </c>
    </row>
    <row r="277" spans="10:32" ht="16.5" x14ac:dyDescent="0.3">
      <c r="R277" s="277" t="s">
        <v>615</v>
      </c>
      <c r="S277" s="280">
        <v>0</v>
      </c>
      <c r="T277" s="277" t="s">
        <v>616</v>
      </c>
      <c r="U277" s="280">
        <v>0.34000000357627902</v>
      </c>
      <c r="V277" s="277" t="s">
        <v>617</v>
      </c>
      <c r="W277" s="280">
        <v>0.41999998688697798</v>
      </c>
      <c r="X277" s="277" t="s">
        <v>572</v>
      </c>
      <c r="Y277" s="280">
        <v>0</v>
      </c>
      <c r="Z277" s="277" t="s">
        <v>606</v>
      </c>
      <c r="AA277" s="280">
        <v>0</v>
      </c>
      <c r="AB277" s="281" t="s">
        <v>538</v>
      </c>
      <c r="AC277" s="282">
        <v>0</v>
      </c>
      <c r="AE277" s="274" t="str">
        <f t="shared" ca="1" si="48"/>
        <v>COOPERATIVA ELÉCTRICA BENÉFICA CATRALENSE, COOP. V.</v>
      </c>
      <c r="AF277" s="283">
        <f t="shared" ca="1" si="49"/>
        <v>0</v>
      </c>
    </row>
    <row r="278" spans="10:32" ht="16.5" x14ac:dyDescent="0.3">
      <c r="J278" s="284"/>
      <c r="K278" s="284"/>
      <c r="L278" s="284"/>
      <c r="R278" s="277" t="s">
        <v>618</v>
      </c>
      <c r="S278" s="280">
        <v>0.31000000238418601</v>
      </c>
      <c r="T278" s="277" t="s">
        <v>558</v>
      </c>
      <c r="U278" s="280">
        <v>0</v>
      </c>
      <c r="V278" s="277" t="s">
        <v>477</v>
      </c>
      <c r="W278" s="280">
        <v>0</v>
      </c>
      <c r="X278" s="277" t="s">
        <v>619</v>
      </c>
      <c r="Y278" s="280">
        <v>0.37000000476837203</v>
      </c>
      <c r="Z278" s="277" t="s">
        <v>563</v>
      </c>
      <c r="AA278" s="280">
        <v>0.230000004172325</v>
      </c>
      <c r="AB278" s="281" t="s">
        <v>545</v>
      </c>
      <c r="AC278" s="282">
        <v>0</v>
      </c>
      <c r="AE278" s="274" t="str">
        <f t="shared" ca="1" si="48"/>
        <v>COOPERATIVA ELÉCTRICA BENÉFICA SAN FRANCISCO DE ASÍS, COOP. V.</v>
      </c>
      <c r="AF278" s="283">
        <f t="shared" ca="1" si="49"/>
        <v>0</v>
      </c>
    </row>
    <row r="279" spans="10:32" ht="16.5" x14ac:dyDescent="0.3">
      <c r="J279" s="284"/>
      <c r="K279" s="284"/>
      <c r="L279" s="284"/>
      <c r="R279" s="277" t="s">
        <v>531</v>
      </c>
      <c r="S279" s="280">
        <v>0</v>
      </c>
      <c r="T279" s="277" t="s">
        <v>620</v>
      </c>
      <c r="U279" s="280">
        <v>0.36000001430511502</v>
      </c>
      <c r="V279" s="277" t="s">
        <v>480</v>
      </c>
      <c r="W279" s="280">
        <v>0.38999998569488498</v>
      </c>
      <c r="X279" s="277" t="s">
        <v>621</v>
      </c>
      <c r="Y279" s="280">
        <v>0.40999999642372098</v>
      </c>
      <c r="Z279" s="277" t="s">
        <v>622</v>
      </c>
      <c r="AA279" s="280">
        <v>0.119999997317791</v>
      </c>
      <c r="AB279" s="281" t="s">
        <v>551</v>
      </c>
      <c r="AC279" s="282">
        <v>0</v>
      </c>
      <c r="AE279" s="274" t="str">
        <f t="shared" ca="1" si="48"/>
        <v>COOPERATIVA ELÉCTRICA-BENÉFICA ALBATERENSE, COOP.V.</v>
      </c>
      <c r="AF279" s="283">
        <f t="shared" ca="1" si="49"/>
        <v>0</v>
      </c>
    </row>
    <row r="280" spans="10:32" ht="16.5" x14ac:dyDescent="0.3">
      <c r="J280" s="284"/>
      <c r="K280" s="284"/>
      <c r="L280" s="284"/>
      <c r="R280" s="277" t="s">
        <v>623</v>
      </c>
      <c r="S280" s="280">
        <v>0</v>
      </c>
      <c r="T280" s="277" t="s">
        <v>562</v>
      </c>
      <c r="U280" s="280">
        <v>0</v>
      </c>
      <c r="V280" s="277" t="s">
        <v>493</v>
      </c>
      <c r="W280" s="280">
        <v>0</v>
      </c>
      <c r="X280" s="277" t="s">
        <v>624</v>
      </c>
      <c r="Y280" s="280">
        <v>0</v>
      </c>
      <c r="Z280" s="277" t="s">
        <v>569</v>
      </c>
      <c r="AA280" s="280">
        <v>0</v>
      </c>
      <c r="AB280" s="281" t="s">
        <v>567</v>
      </c>
      <c r="AC280" s="282">
        <v>0</v>
      </c>
      <c r="AE280" s="274" t="str">
        <f t="shared" ca="1" si="48"/>
        <v>COOPERATIVA VALENCIANA ELECTRODISTRIBUIDORA DE FUERZA Y ALUMBRADO SERRALLO, S.Coop.V.</v>
      </c>
      <c r="AF280" s="283">
        <f t="shared" ca="1" si="49"/>
        <v>0</v>
      </c>
    </row>
    <row r="281" spans="10:32" ht="16.5" x14ac:dyDescent="0.3">
      <c r="J281" s="284"/>
      <c r="K281" s="284"/>
      <c r="L281" s="284"/>
      <c r="R281" s="277" t="s">
        <v>625</v>
      </c>
      <c r="S281" s="280">
        <v>0</v>
      </c>
      <c r="T281" s="277" t="s">
        <v>626</v>
      </c>
      <c r="U281" s="280">
        <v>0.34000000357627902</v>
      </c>
      <c r="V281" s="277" t="s">
        <v>609</v>
      </c>
      <c r="W281" s="280">
        <v>0</v>
      </c>
      <c r="X281" s="277" t="s">
        <v>627</v>
      </c>
      <c r="Y281" s="280">
        <v>0</v>
      </c>
      <c r="Z281" s="277" t="s">
        <v>628</v>
      </c>
      <c r="AA281" s="280">
        <v>0</v>
      </c>
      <c r="AB281" s="281" t="s">
        <v>629</v>
      </c>
      <c r="AC281" s="282">
        <v>0.19</v>
      </c>
      <c r="AE281" s="274" t="str">
        <f t="shared" ca="1" si="48"/>
        <v>CORPOLUX, S.L.</v>
      </c>
      <c r="AF281" s="283">
        <f t="shared" ca="1" si="49"/>
        <v>0.19</v>
      </c>
    </row>
    <row r="282" spans="10:32" ht="16.5" x14ac:dyDescent="0.3">
      <c r="J282" s="284"/>
      <c r="K282" s="284"/>
      <c r="L282" s="284"/>
      <c r="R282" s="277" t="s">
        <v>630</v>
      </c>
      <c r="S282" s="280">
        <v>5.0000000745058101E-2</v>
      </c>
      <c r="T282" s="277" t="s">
        <v>484</v>
      </c>
      <c r="U282" s="280">
        <v>0</v>
      </c>
      <c r="V282" s="277" t="s">
        <v>556</v>
      </c>
      <c r="W282" s="280">
        <v>0.37000000476837203</v>
      </c>
      <c r="X282" s="277" t="s">
        <v>518</v>
      </c>
      <c r="Y282" s="280">
        <v>0</v>
      </c>
      <c r="Z282" s="277" t="s">
        <v>596</v>
      </c>
      <c r="AA282" s="280">
        <v>0</v>
      </c>
      <c r="AB282" s="281" t="s">
        <v>631</v>
      </c>
      <c r="AC282" s="282">
        <v>0.28999999999999998</v>
      </c>
      <c r="AE282" s="274" t="str">
        <f t="shared" ca="1" si="48"/>
        <v>CORPORACIÓN ALIMENTARIA GUISSONA, S.A.</v>
      </c>
      <c r="AF282" s="283">
        <f t="shared" ca="1" si="49"/>
        <v>0.28999999999999998</v>
      </c>
    </row>
    <row r="283" spans="10:32" ht="16.5" x14ac:dyDescent="0.3">
      <c r="J283" s="284"/>
      <c r="K283" s="284"/>
      <c r="L283" s="284"/>
      <c r="R283" s="277" t="s">
        <v>583</v>
      </c>
      <c r="S283" s="280">
        <v>0</v>
      </c>
      <c r="T283" s="277" t="s">
        <v>632</v>
      </c>
      <c r="U283" s="280">
        <v>0</v>
      </c>
      <c r="V283" s="277" t="s">
        <v>558</v>
      </c>
      <c r="W283" s="280">
        <v>0</v>
      </c>
      <c r="X283" s="277" t="s">
        <v>523</v>
      </c>
      <c r="Y283" s="280">
        <v>0</v>
      </c>
      <c r="Z283" s="277" t="s">
        <v>572</v>
      </c>
      <c r="AA283" s="280">
        <v>0</v>
      </c>
      <c r="AB283" s="281" t="s">
        <v>633</v>
      </c>
      <c r="AC283" s="282">
        <v>0</v>
      </c>
      <c r="AE283" s="274" t="str">
        <f t="shared" ca="1" si="48"/>
        <v>COX ENERGÍA COMERCIALIZADORA ESPA¿A, S.L.U.</v>
      </c>
      <c r="AF283" s="283">
        <f t="shared" ca="1" si="49"/>
        <v>0</v>
      </c>
    </row>
    <row r="284" spans="10:32" ht="16.5" x14ac:dyDescent="0.3">
      <c r="J284" s="284"/>
      <c r="K284" s="284"/>
      <c r="L284" s="284"/>
      <c r="R284" s="277" t="s">
        <v>587</v>
      </c>
      <c r="S284" s="280">
        <v>0</v>
      </c>
      <c r="T284" s="277" t="s">
        <v>634</v>
      </c>
      <c r="U284" s="280">
        <v>0</v>
      </c>
      <c r="V284" s="277" t="s">
        <v>620</v>
      </c>
      <c r="W284" s="280">
        <v>0.43000000715255698</v>
      </c>
      <c r="X284" s="277" t="s">
        <v>635</v>
      </c>
      <c r="Y284" s="280">
        <v>0.34999999403953602</v>
      </c>
      <c r="Z284" s="277" t="s">
        <v>619</v>
      </c>
      <c r="AA284" s="280">
        <v>0</v>
      </c>
      <c r="AB284" s="281" t="s">
        <v>487</v>
      </c>
      <c r="AC284" s="282">
        <v>0</v>
      </c>
      <c r="AE284" s="274" t="str">
        <f t="shared" ca="1" si="48"/>
        <v>CYE ENERGÍA, S.L.</v>
      </c>
      <c r="AF284" s="283">
        <f t="shared" ca="1" si="49"/>
        <v>0</v>
      </c>
    </row>
    <row r="285" spans="10:32" ht="16.5" x14ac:dyDescent="0.3">
      <c r="J285" s="284"/>
      <c r="K285" s="284"/>
      <c r="L285" s="284"/>
      <c r="R285" s="277" t="s">
        <v>591</v>
      </c>
      <c r="S285" s="280">
        <v>0</v>
      </c>
      <c r="T285" s="277" t="s">
        <v>636</v>
      </c>
      <c r="U285" s="280">
        <v>0.28000000119209301</v>
      </c>
      <c r="V285" s="277" t="s">
        <v>562</v>
      </c>
      <c r="W285" s="280">
        <v>0.33000001311302202</v>
      </c>
      <c r="X285" s="277" t="s">
        <v>637</v>
      </c>
      <c r="Y285" s="280">
        <v>0</v>
      </c>
      <c r="Z285" s="277" t="s">
        <v>621</v>
      </c>
      <c r="AA285" s="280">
        <v>0.28999999165535001</v>
      </c>
      <c r="AB285" s="281" t="s">
        <v>553</v>
      </c>
      <c r="AC285" s="282">
        <v>0</v>
      </c>
      <c r="AE285" s="274" t="str">
        <f t="shared" ca="1" si="48"/>
        <v>DAIMUZ ENERGÍA, S.L.</v>
      </c>
      <c r="AF285" s="283">
        <f t="shared" ca="1" si="49"/>
        <v>0</v>
      </c>
    </row>
    <row r="286" spans="10:32" ht="16.5" x14ac:dyDescent="0.3">
      <c r="J286" s="284"/>
      <c r="K286" s="284"/>
      <c r="L286" s="284"/>
      <c r="R286" s="277" t="s">
        <v>638</v>
      </c>
      <c r="S286" s="280">
        <v>0</v>
      </c>
      <c r="T286" s="277" t="s">
        <v>639</v>
      </c>
      <c r="U286" s="280">
        <v>0</v>
      </c>
      <c r="V286" s="277" t="s">
        <v>626</v>
      </c>
      <c r="W286" s="280">
        <v>0.37999999523162797</v>
      </c>
      <c r="X286" s="277" t="s">
        <v>640</v>
      </c>
      <c r="Y286" s="280">
        <v>0.38999998569488498</v>
      </c>
      <c r="Z286" s="277" t="s">
        <v>624</v>
      </c>
      <c r="AA286" s="280">
        <v>0</v>
      </c>
      <c r="AB286" s="281" t="s">
        <v>575</v>
      </c>
      <c r="AC286" s="282">
        <v>0</v>
      </c>
      <c r="AE286" s="274" t="str">
        <f t="shared" ca="1" si="48"/>
        <v>DISA ENERGÍA ELÉCTRICA, S.L.U.</v>
      </c>
      <c r="AF286" s="283">
        <f t="shared" ca="1" si="49"/>
        <v>0</v>
      </c>
    </row>
    <row r="287" spans="10:32" ht="16.5" x14ac:dyDescent="0.3">
      <c r="J287" s="284"/>
      <c r="K287" s="284"/>
      <c r="L287" s="284"/>
      <c r="R287" s="277" t="s">
        <v>550</v>
      </c>
      <c r="S287" s="280">
        <v>0</v>
      </c>
      <c r="T287" s="277" t="s">
        <v>486</v>
      </c>
      <c r="U287" s="280">
        <v>0.28999999165535001</v>
      </c>
      <c r="V287" s="277" t="s">
        <v>484</v>
      </c>
      <c r="W287" s="280">
        <v>0</v>
      </c>
      <c r="X287" s="277" t="s">
        <v>481</v>
      </c>
      <c r="Y287" s="280">
        <v>0</v>
      </c>
      <c r="Z287" s="277" t="s">
        <v>627</v>
      </c>
      <c r="AA287" s="280">
        <v>0</v>
      </c>
      <c r="AB287" s="281" t="s">
        <v>641</v>
      </c>
      <c r="AC287" s="282">
        <v>0</v>
      </c>
      <c r="AE287" s="274" t="str">
        <f t="shared" ref="AE287:AE350" ca="1" si="50">INDIRECT("_Com"&amp;$F$2)</f>
        <v>DOMÉSTICA GAS Y ELECTRICIDAD SLU</v>
      </c>
      <c r="AF287" s="283">
        <f t="shared" ref="AF287:AF350" ca="1" si="51">INDIRECT("_Mix"&amp;$F$2)</f>
        <v>0</v>
      </c>
    </row>
    <row r="288" spans="10:32" ht="16.5" x14ac:dyDescent="0.3">
      <c r="J288" s="284"/>
      <c r="K288" s="284"/>
      <c r="L288" s="284"/>
      <c r="R288" s="286" t="s">
        <v>542</v>
      </c>
      <c r="S288" s="280">
        <v>0.4</v>
      </c>
      <c r="T288" s="277" t="s">
        <v>512</v>
      </c>
      <c r="U288" s="280">
        <v>0</v>
      </c>
      <c r="V288" s="277" t="s">
        <v>634</v>
      </c>
      <c r="W288" s="280">
        <v>0</v>
      </c>
      <c r="X288" s="277" t="s">
        <v>642</v>
      </c>
      <c r="Y288" s="280">
        <v>0</v>
      </c>
      <c r="Z288" s="277" t="s">
        <v>518</v>
      </c>
      <c r="AA288" s="280">
        <v>0</v>
      </c>
      <c r="AB288" s="281" t="s">
        <v>514</v>
      </c>
      <c r="AC288" s="282">
        <v>0.21</v>
      </c>
      <c r="AE288" s="274" t="str">
        <f t="shared" ca="1" si="50"/>
        <v>DREUE ELECTRIC, S.L.</v>
      </c>
      <c r="AF288" s="283">
        <f t="shared" ca="1" si="51"/>
        <v>0.21</v>
      </c>
    </row>
    <row r="289" spans="10:32" ht="16.5" x14ac:dyDescent="0.3">
      <c r="J289" s="284"/>
      <c r="K289" s="284"/>
      <c r="L289" s="284"/>
      <c r="R289" s="286" t="s">
        <v>549</v>
      </c>
      <c r="S289" s="280">
        <v>0.4</v>
      </c>
      <c r="T289" s="277" t="s">
        <v>643</v>
      </c>
      <c r="U289" s="280">
        <v>0</v>
      </c>
      <c r="V289" s="277" t="s">
        <v>636</v>
      </c>
      <c r="W289" s="280">
        <v>0.31999999284744302</v>
      </c>
      <c r="X289" s="277" t="s">
        <v>529</v>
      </c>
      <c r="Y289" s="280">
        <v>0</v>
      </c>
      <c r="Z289" s="277" t="s">
        <v>523</v>
      </c>
      <c r="AA289" s="280">
        <v>0</v>
      </c>
      <c r="AB289" s="281" t="s">
        <v>559</v>
      </c>
      <c r="AC289" s="282">
        <v>0</v>
      </c>
      <c r="AE289" s="274" t="str">
        <f t="shared" ca="1" si="50"/>
        <v>DRK ENERGY, S.L.</v>
      </c>
      <c r="AF289" s="283">
        <f t="shared" ca="1" si="51"/>
        <v>0</v>
      </c>
    </row>
    <row r="290" spans="10:32" ht="16.5" x14ac:dyDescent="0.3">
      <c r="O290" s="284"/>
      <c r="P290" s="284"/>
      <c r="Q290" s="284"/>
      <c r="R290" s="284"/>
      <c r="S290" s="284"/>
      <c r="T290" s="277" t="s">
        <v>644</v>
      </c>
      <c r="U290" s="280">
        <v>0.36000001430511502</v>
      </c>
      <c r="V290" s="277" t="s">
        <v>486</v>
      </c>
      <c r="W290" s="280">
        <v>0.31999999284744302</v>
      </c>
      <c r="X290" s="277" t="s">
        <v>533</v>
      </c>
      <c r="Y290" s="280">
        <v>0</v>
      </c>
      <c r="Z290" s="277" t="s">
        <v>635</v>
      </c>
      <c r="AA290" s="280">
        <v>0.18000000715255701</v>
      </c>
      <c r="AB290" s="281" t="s">
        <v>645</v>
      </c>
      <c r="AC290" s="282">
        <v>0</v>
      </c>
      <c r="AE290" s="274" t="str">
        <f t="shared" ca="1" si="50"/>
        <v>DUFENERGY TRADING S.A.</v>
      </c>
      <c r="AF290" s="283">
        <f t="shared" ca="1" si="51"/>
        <v>0</v>
      </c>
    </row>
    <row r="291" spans="10:32" ht="16.5" x14ac:dyDescent="0.3">
      <c r="O291" s="284"/>
      <c r="P291" s="284"/>
      <c r="Q291" s="284"/>
      <c r="R291" s="284"/>
      <c r="S291" s="284"/>
      <c r="T291" s="277" t="s">
        <v>646</v>
      </c>
      <c r="U291" s="280">
        <v>0</v>
      </c>
      <c r="V291" s="277" t="s">
        <v>512</v>
      </c>
      <c r="W291" s="280">
        <v>0</v>
      </c>
      <c r="X291" s="277" t="s">
        <v>537</v>
      </c>
      <c r="Y291" s="280">
        <v>0</v>
      </c>
      <c r="Z291" s="277" t="s">
        <v>529</v>
      </c>
      <c r="AA291" s="280">
        <v>0</v>
      </c>
      <c r="AB291" s="281" t="s">
        <v>601</v>
      </c>
      <c r="AC291" s="282">
        <v>0.24</v>
      </c>
      <c r="AE291" s="274" t="str">
        <f t="shared" ca="1" si="50"/>
        <v>ECOEQ ENERGÉTICA, S.L.</v>
      </c>
      <c r="AF291" s="283">
        <f t="shared" ca="1" si="51"/>
        <v>0.24</v>
      </c>
    </row>
    <row r="292" spans="10:32" ht="16.5" x14ac:dyDescent="0.3">
      <c r="O292" s="284"/>
      <c r="P292" s="284"/>
      <c r="Q292" s="284"/>
      <c r="R292" s="284"/>
      <c r="S292" s="284"/>
      <c r="T292" s="277" t="s">
        <v>647</v>
      </c>
      <c r="U292" s="280">
        <v>0.34000000357627902</v>
      </c>
      <c r="V292" s="277" t="s">
        <v>644</v>
      </c>
      <c r="W292" s="280">
        <v>0.36000001430511502</v>
      </c>
      <c r="X292" s="277" t="s">
        <v>602</v>
      </c>
      <c r="Y292" s="280">
        <v>0.37000000476837203</v>
      </c>
      <c r="Z292" s="277" t="s">
        <v>533</v>
      </c>
      <c r="AA292" s="280">
        <v>0</v>
      </c>
      <c r="AB292" s="281" t="s">
        <v>585</v>
      </c>
      <c r="AC292" s="282">
        <v>0.25</v>
      </c>
      <c r="AE292" s="274" t="str">
        <f t="shared" ca="1" si="50"/>
        <v>ECOFUTURA LUZ ENERGÍA, S.L.</v>
      </c>
      <c r="AF292" s="283">
        <f t="shared" ca="1" si="51"/>
        <v>0.25</v>
      </c>
    </row>
    <row r="293" spans="10:32" ht="16.5" x14ac:dyDescent="0.3">
      <c r="O293" s="284"/>
      <c r="P293" s="284"/>
      <c r="Q293" s="284"/>
      <c r="R293" s="284"/>
      <c r="S293" s="284"/>
      <c r="T293" s="277" t="s">
        <v>489</v>
      </c>
      <c r="U293" s="280">
        <v>0.28999999165535001</v>
      </c>
      <c r="V293" s="277" t="s">
        <v>648</v>
      </c>
      <c r="W293" s="280">
        <v>0.40999999642372098</v>
      </c>
      <c r="X293" s="277" t="s">
        <v>544</v>
      </c>
      <c r="Y293" s="280">
        <v>0</v>
      </c>
      <c r="Z293" s="277" t="s">
        <v>640</v>
      </c>
      <c r="AA293" s="280">
        <v>0.28999999165535001</v>
      </c>
      <c r="AB293" s="281" t="s">
        <v>606</v>
      </c>
      <c r="AC293" s="282">
        <v>0</v>
      </c>
      <c r="AE293" s="274" t="str">
        <f t="shared" ca="1" si="50"/>
        <v>ECONACTIVA, S. COOP DE C-LM</v>
      </c>
      <c r="AF293" s="283">
        <f t="shared" ca="1" si="51"/>
        <v>0</v>
      </c>
    </row>
    <row r="294" spans="10:32" ht="16.5" x14ac:dyDescent="0.3">
      <c r="O294" s="284"/>
      <c r="P294" s="284"/>
      <c r="Q294" s="284"/>
      <c r="R294" s="284"/>
      <c r="S294" s="284"/>
      <c r="T294" s="277" t="s">
        <v>492</v>
      </c>
      <c r="U294" s="280">
        <v>0.28999999165535001</v>
      </c>
      <c r="V294" s="277" t="s">
        <v>647</v>
      </c>
      <c r="W294" s="280">
        <v>0</v>
      </c>
      <c r="X294" s="277" t="s">
        <v>649</v>
      </c>
      <c r="Y294" s="280">
        <v>0.40999999642372098</v>
      </c>
      <c r="Z294" s="277" t="s">
        <v>481</v>
      </c>
      <c r="AA294" s="280">
        <v>0</v>
      </c>
      <c r="AB294" s="281" t="s">
        <v>650</v>
      </c>
      <c r="AC294" s="282">
        <v>0.12</v>
      </c>
      <c r="AE294" s="274" t="str">
        <f t="shared" ca="1" si="50"/>
        <v>EDP CLIENTES SAU</v>
      </c>
      <c r="AF294" s="283">
        <f t="shared" ca="1" si="51"/>
        <v>0.12</v>
      </c>
    </row>
    <row r="295" spans="10:32" ht="16.5" x14ac:dyDescent="0.3">
      <c r="O295" s="284"/>
      <c r="P295" s="284"/>
      <c r="Q295" s="284"/>
      <c r="R295" s="284"/>
      <c r="S295" s="284"/>
      <c r="T295" s="277" t="s">
        <v>651</v>
      </c>
      <c r="U295" s="280">
        <v>0</v>
      </c>
      <c r="V295" s="277" t="s">
        <v>489</v>
      </c>
      <c r="W295" s="280">
        <v>0.34999999403953602</v>
      </c>
      <c r="X295" s="277" t="s">
        <v>477</v>
      </c>
      <c r="Y295" s="280">
        <v>0</v>
      </c>
      <c r="Z295" s="277" t="s">
        <v>642</v>
      </c>
      <c r="AA295" s="280">
        <v>0</v>
      </c>
      <c r="AB295" s="281" t="s">
        <v>563</v>
      </c>
      <c r="AC295" s="282">
        <v>0.21</v>
      </c>
      <c r="AE295" s="274" t="str">
        <f t="shared" ca="1" si="50"/>
        <v>EDP COMERCIALIZADORA, S.A.U.</v>
      </c>
      <c r="AF295" s="283">
        <f t="shared" ca="1" si="51"/>
        <v>0.21</v>
      </c>
    </row>
    <row r="296" spans="10:32" ht="16.5" x14ac:dyDescent="0.3">
      <c r="O296" s="284"/>
      <c r="P296" s="284"/>
      <c r="Q296" s="284"/>
      <c r="R296" s="284"/>
      <c r="S296" s="284"/>
      <c r="T296" s="277" t="s">
        <v>501</v>
      </c>
      <c r="U296" s="280">
        <v>0</v>
      </c>
      <c r="V296" s="277" t="s">
        <v>652</v>
      </c>
      <c r="W296" s="280">
        <v>0</v>
      </c>
      <c r="X296" s="277" t="s">
        <v>480</v>
      </c>
      <c r="Y296" s="280">
        <v>0.37999999523162797</v>
      </c>
      <c r="Z296" s="277" t="s">
        <v>653</v>
      </c>
      <c r="AA296" s="280">
        <v>0</v>
      </c>
      <c r="AB296" s="281" t="s">
        <v>593</v>
      </c>
      <c r="AC296" s="282">
        <v>0.22</v>
      </c>
      <c r="AE296" s="274" t="str">
        <f t="shared" ca="1" si="50"/>
        <v>EDP ENERGÍA S.A.U.</v>
      </c>
      <c r="AF296" s="283">
        <f t="shared" ca="1" si="51"/>
        <v>0.22</v>
      </c>
    </row>
    <row r="297" spans="10:32" ht="16.5" x14ac:dyDescent="0.3">
      <c r="O297" s="284"/>
      <c r="P297" s="284"/>
      <c r="Q297" s="284"/>
      <c r="R297" s="284"/>
      <c r="S297" s="284"/>
      <c r="T297" s="277" t="s">
        <v>506</v>
      </c>
      <c r="U297" s="280">
        <v>0</v>
      </c>
      <c r="V297" s="277" t="s">
        <v>492</v>
      </c>
      <c r="W297" s="280">
        <v>0.38999998569488498</v>
      </c>
      <c r="X297" s="277" t="s">
        <v>490</v>
      </c>
      <c r="Y297" s="280">
        <v>0</v>
      </c>
      <c r="Z297" s="277" t="s">
        <v>654</v>
      </c>
      <c r="AA297" s="280">
        <v>0</v>
      </c>
      <c r="AB297" s="281" t="s">
        <v>569</v>
      </c>
      <c r="AC297" s="282">
        <v>0.23</v>
      </c>
      <c r="AE297" s="274" t="str">
        <f t="shared" ca="1" si="50"/>
        <v>ELECNOVA SIGLO XXI, S.L.</v>
      </c>
      <c r="AF297" s="283">
        <f t="shared" ca="1" si="51"/>
        <v>0.23</v>
      </c>
    </row>
    <row r="298" spans="10:32" ht="16.5" x14ac:dyDescent="0.3">
      <c r="O298" s="284"/>
      <c r="P298" s="284"/>
      <c r="Q298" s="284"/>
      <c r="R298" s="284"/>
      <c r="S298" s="284"/>
      <c r="T298" s="277" t="s">
        <v>655</v>
      </c>
      <c r="U298" s="280">
        <v>7.0000000298023196E-2</v>
      </c>
      <c r="V298" s="277" t="s">
        <v>651</v>
      </c>
      <c r="W298" s="280">
        <v>0</v>
      </c>
      <c r="X298" s="277" t="s">
        <v>493</v>
      </c>
      <c r="Y298" s="280">
        <v>0.15999999642372101</v>
      </c>
      <c r="Z298" s="277" t="s">
        <v>656</v>
      </c>
      <c r="AA298" s="280">
        <v>0</v>
      </c>
      <c r="AB298" s="281" t="s">
        <v>628</v>
      </c>
      <c r="AC298" s="282">
        <v>0</v>
      </c>
      <c r="AE298" s="274" t="str">
        <f t="shared" ca="1" si="50"/>
        <v>ELECTRA AVELLANA COMERCIAL, S.L.</v>
      </c>
      <c r="AF298" s="283">
        <f t="shared" ca="1" si="51"/>
        <v>0</v>
      </c>
    </row>
    <row r="299" spans="10:32" ht="16.5" x14ac:dyDescent="0.3">
      <c r="O299" s="284"/>
      <c r="P299" s="284"/>
      <c r="Q299" s="284"/>
      <c r="R299" s="284"/>
      <c r="S299" s="284"/>
      <c r="T299" s="277" t="s">
        <v>657</v>
      </c>
      <c r="U299" s="280">
        <v>0.31999999284744302</v>
      </c>
      <c r="V299" s="277" t="s">
        <v>501</v>
      </c>
      <c r="W299" s="280">
        <v>0</v>
      </c>
      <c r="X299" s="277" t="s">
        <v>609</v>
      </c>
      <c r="Y299" s="280">
        <v>0</v>
      </c>
      <c r="Z299" s="277" t="s">
        <v>658</v>
      </c>
      <c r="AA299" s="280">
        <v>0.239999994635582</v>
      </c>
      <c r="AB299" s="281" t="s">
        <v>596</v>
      </c>
      <c r="AC299" s="282">
        <v>0</v>
      </c>
      <c r="AE299" s="274" t="str">
        <f t="shared" ca="1" si="50"/>
        <v>ELECTRA CALDENSE ENERGÍA, S.A.</v>
      </c>
      <c r="AF299" s="283">
        <f t="shared" ca="1" si="51"/>
        <v>0</v>
      </c>
    </row>
    <row r="300" spans="10:32" ht="16.5" x14ac:dyDescent="0.3">
      <c r="O300" s="284"/>
      <c r="P300" s="284"/>
      <c r="Q300" s="284"/>
      <c r="R300" s="284"/>
      <c r="S300" s="284"/>
      <c r="T300" s="277" t="s">
        <v>659</v>
      </c>
      <c r="U300" s="280">
        <v>0</v>
      </c>
      <c r="V300" s="277" t="s">
        <v>506</v>
      </c>
      <c r="W300" s="280">
        <v>0</v>
      </c>
      <c r="X300" s="277" t="s">
        <v>611</v>
      </c>
      <c r="Y300" s="280">
        <v>0.25</v>
      </c>
      <c r="Z300" s="277" t="s">
        <v>660</v>
      </c>
      <c r="AA300" s="280">
        <v>0</v>
      </c>
      <c r="AB300" s="281" t="s">
        <v>572</v>
      </c>
      <c r="AC300" s="282">
        <v>0</v>
      </c>
      <c r="AE300" s="274" t="str">
        <f t="shared" ca="1" si="50"/>
        <v>ELECTRA DEL CARDENER ENERGÍA, S.A.</v>
      </c>
      <c r="AF300" s="283">
        <f t="shared" ca="1" si="51"/>
        <v>0</v>
      </c>
    </row>
    <row r="301" spans="10:32" ht="16.5" x14ac:dyDescent="0.3">
      <c r="O301" s="284"/>
      <c r="P301" s="284"/>
      <c r="Q301" s="284"/>
      <c r="R301" s="284"/>
      <c r="S301" s="284"/>
      <c r="T301" s="277" t="s">
        <v>532</v>
      </c>
      <c r="U301" s="280">
        <v>0</v>
      </c>
      <c r="V301" s="277" t="s">
        <v>655</v>
      </c>
      <c r="W301" s="280">
        <v>0</v>
      </c>
      <c r="X301" s="277" t="s">
        <v>556</v>
      </c>
      <c r="Y301" s="280">
        <v>0.20000000298023199</v>
      </c>
      <c r="Z301" s="277" t="s">
        <v>544</v>
      </c>
      <c r="AA301" s="280">
        <v>0</v>
      </c>
      <c r="AB301" s="281" t="s">
        <v>619</v>
      </c>
      <c r="AC301" s="282">
        <v>0</v>
      </c>
      <c r="AE301" s="274" t="str">
        <f t="shared" ca="1" si="50"/>
        <v>ELECTRA ENERGÍA, S.A.U.</v>
      </c>
      <c r="AF301" s="283">
        <f t="shared" ca="1" si="51"/>
        <v>0</v>
      </c>
    </row>
    <row r="302" spans="10:32" ht="16.5" x14ac:dyDescent="0.3">
      <c r="O302" s="284"/>
      <c r="P302" s="284"/>
      <c r="Q302" s="284"/>
      <c r="R302" s="284"/>
      <c r="S302" s="284"/>
      <c r="T302" s="277" t="s">
        <v>661</v>
      </c>
      <c r="U302" s="280">
        <v>0</v>
      </c>
      <c r="V302" s="277" t="s">
        <v>662</v>
      </c>
      <c r="W302" s="280">
        <v>0</v>
      </c>
      <c r="X302" s="277" t="s">
        <v>616</v>
      </c>
      <c r="Y302" s="280">
        <v>0.40999999642372098</v>
      </c>
      <c r="Z302" s="277" t="s">
        <v>477</v>
      </c>
      <c r="AA302" s="280">
        <v>0</v>
      </c>
      <c r="AB302" s="281" t="s">
        <v>621</v>
      </c>
      <c r="AC302" s="282">
        <v>0.23</v>
      </c>
      <c r="AE302" s="274" t="str">
        <f t="shared" ca="1" si="50"/>
        <v>ELECTRA NORTE ENERGÍA, S.A.U.</v>
      </c>
      <c r="AF302" s="283">
        <f t="shared" ca="1" si="51"/>
        <v>0.23</v>
      </c>
    </row>
    <row r="303" spans="10:32" ht="16.5" x14ac:dyDescent="0.3">
      <c r="O303" s="284"/>
      <c r="P303" s="284"/>
      <c r="Q303" s="284"/>
      <c r="R303" s="284"/>
      <c r="S303" s="284"/>
      <c r="T303" s="277" t="s">
        <v>515</v>
      </c>
      <c r="U303" s="280">
        <v>0</v>
      </c>
      <c r="V303" s="277" t="s">
        <v>532</v>
      </c>
      <c r="W303" s="280">
        <v>0</v>
      </c>
      <c r="X303" s="277" t="s">
        <v>663</v>
      </c>
      <c r="Y303" s="280">
        <v>0</v>
      </c>
      <c r="Z303" s="277" t="s">
        <v>480</v>
      </c>
      <c r="AA303" s="280">
        <v>0.270000010728836</v>
      </c>
      <c r="AB303" s="281" t="s">
        <v>664</v>
      </c>
      <c r="AC303" s="282">
        <v>0</v>
      </c>
      <c r="AE303" s="274" t="str">
        <f t="shared" ca="1" si="50"/>
        <v>ELECTRACOMERCIAL CENTELLES, S.L.</v>
      </c>
      <c r="AF303" s="283">
        <f t="shared" ca="1" si="51"/>
        <v>0</v>
      </c>
    </row>
    <row r="304" spans="10:32" ht="16.5" x14ac:dyDescent="0.3">
      <c r="O304" s="284"/>
      <c r="P304" s="284"/>
      <c r="Q304" s="284"/>
      <c r="R304" s="284"/>
      <c r="S304" s="284"/>
      <c r="T304" s="277" t="s">
        <v>561</v>
      </c>
      <c r="U304" s="280">
        <v>0.15000000596046401</v>
      </c>
      <c r="V304" s="277" t="s">
        <v>661</v>
      </c>
      <c r="W304" s="280">
        <v>0</v>
      </c>
      <c r="X304" s="277" t="s">
        <v>558</v>
      </c>
      <c r="Y304" s="280">
        <v>0</v>
      </c>
      <c r="Z304" s="277" t="s">
        <v>490</v>
      </c>
      <c r="AA304" s="280">
        <v>0.31000000238418601</v>
      </c>
      <c r="AB304" s="281" t="s">
        <v>573</v>
      </c>
      <c r="AC304" s="282">
        <v>0</v>
      </c>
      <c r="AE304" s="274" t="str">
        <f t="shared" ca="1" si="50"/>
        <v>ELÉCTRICA ALBATERENSE, S.L.</v>
      </c>
      <c r="AF304" s="283">
        <f t="shared" ca="1" si="51"/>
        <v>0</v>
      </c>
    </row>
    <row r="305" spans="11:32" ht="16.5" x14ac:dyDescent="0.3">
      <c r="O305" s="284"/>
      <c r="P305" s="284"/>
      <c r="Q305" s="284"/>
      <c r="R305" s="284"/>
      <c r="S305" s="284"/>
      <c r="T305" s="277" t="s">
        <v>598</v>
      </c>
      <c r="U305" s="280">
        <v>0.109999999403954</v>
      </c>
      <c r="V305" s="277" t="s">
        <v>515</v>
      </c>
      <c r="W305" s="280">
        <v>0</v>
      </c>
      <c r="X305" s="277" t="s">
        <v>620</v>
      </c>
      <c r="Y305" s="280">
        <v>0.40999999642372098</v>
      </c>
      <c r="Z305" s="277" t="s">
        <v>665</v>
      </c>
      <c r="AA305" s="280">
        <v>0</v>
      </c>
      <c r="AB305" s="281" t="s">
        <v>578</v>
      </c>
      <c r="AC305" s="282">
        <v>0</v>
      </c>
      <c r="AE305" s="274" t="str">
        <f t="shared" ca="1" si="50"/>
        <v>ELÉCTRICA CATRALENSE, S.L.</v>
      </c>
      <c r="AF305" s="283">
        <f t="shared" ca="1" si="51"/>
        <v>0</v>
      </c>
    </row>
    <row r="306" spans="11:32" ht="16.5" x14ac:dyDescent="0.3">
      <c r="O306" s="284"/>
      <c r="P306" s="284"/>
      <c r="Q306" s="284"/>
      <c r="R306" s="284"/>
      <c r="S306" s="284"/>
      <c r="T306" s="277" t="s">
        <v>599</v>
      </c>
      <c r="U306" s="280">
        <v>0</v>
      </c>
      <c r="V306" s="277" t="s">
        <v>561</v>
      </c>
      <c r="W306" s="280">
        <v>0.28000000119209301</v>
      </c>
      <c r="X306" s="277" t="s">
        <v>666</v>
      </c>
      <c r="Y306" s="280">
        <v>0</v>
      </c>
      <c r="Z306" s="277" t="s">
        <v>667</v>
      </c>
      <c r="AA306" s="280">
        <v>0</v>
      </c>
      <c r="AB306" s="281" t="s">
        <v>580</v>
      </c>
      <c r="AC306" s="282">
        <v>0</v>
      </c>
      <c r="AE306" s="274" t="str">
        <f t="shared" ca="1" si="50"/>
        <v>ELÉCTRICA DE CHERA, S.C.V.</v>
      </c>
      <c r="AF306" s="283">
        <f t="shared" ca="1" si="51"/>
        <v>0</v>
      </c>
    </row>
    <row r="307" spans="11:32" ht="16.5" x14ac:dyDescent="0.3">
      <c r="K307" s="284"/>
      <c r="O307" s="284"/>
      <c r="P307" s="284"/>
      <c r="Q307" s="284"/>
      <c r="R307" s="284"/>
      <c r="S307" s="284"/>
      <c r="T307" s="277" t="s">
        <v>668</v>
      </c>
      <c r="U307" s="280">
        <v>0.36000001430511502</v>
      </c>
      <c r="V307" s="277" t="s">
        <v>669</v>
      </c>
      <c r="W307" s="280">
        <v>0</v>
      </c>
      <c r="X307" s="277" t="s">
        <v>670</v>
      </c>
      <c r="Y307" s="280">
        <v>0</v>
      </c>
      <c r="Z307" s="277" t="s">
        <v>493</v>
      </c>
      <c r="AA307" s="280">
        <v>0.259999990463257</v>
      </c>
      <c r="AB307" s="281" t="s">
        <v>584</v>
      </c>
      <c r="AC307" s="282">
        <v>0</v>
      </c>
      <c r="AE307" s="274" t="str">
        <f t="shared" ca="1" si="50"/>
        <v>ELÉCTRICA DE GUADASSUAR COOP. V.</v>
      </c>
      <c r="AF307" s="283">
        <f t="shared" ca="1" si="51"/>
        <v>0</v>
      </c>
    </row>
    <row r="308" spans="11:32" ht="16.5" x14ac:dyDescent="0.3">
      <c r="K308" s="284"/>
      <c r="T308" s="277" t="s">
        <v>522</v>
      </c>
      <c r="U308" s="280">
        <v>0</v>
      </c>
      <c r="V308" s="277" t="s">
        <v>598</v>
      </c>
      <c r="W308" s="280">
        <v>0.230000004172325</v>
      </c>
      <c r="X308" s="277" t="s">
        <v>562</v>
      </c>
      <c r="Y308" s="280">
        <v>0.28000000119209301</v>
      </c>
      <c r="Z308" s="277" t="s">
        <v>671</v>
      </c>
      <c r="AA308" s="280">
        <v>0</v>
      </c>
      <c r="AB308" s="281" t="s">
        <v>672</v>
      </c>
      <c r="AC308" s="282">
        <v>0.17</v>
      </c>
      <c r="AE308" s="274" t="str">
        <f t="shared" ca="1" si="50"/>
        <v>ELÉCTRICA DE GUIXES ENERGÍA, S.L.</v>
      </c>
      <c r="AF308" s="283">
        <f t="shared" ca="1" si="51"/>
        <v>0.17</v>
      </c>
    </row>
    <row r="309" spans="11:32" ht="16.5" x14ac:dyDescent="0.3">
      <c r="K309" s="284"/>
      <c r="T309" s="277" t="s">
        <v>673</v>
      </c>
      <c r="U309" s="280">
        <v>0.28999999165535001</v>
      </c>
      <c r="V309" s="277" t="s">
        <v>599</v>
      </c>
      <c r="W309" s="280">
        <v>9.9999997764825804E-3</v>
      </c>
      <c r="X309" s="277" t="s">
        <v>674</v>
      </c>
      <c r="Y309" s="280">
        <v>0</v>
      </c>
      <c r="Z309" s="277" t="s">
        <v>558</v>
      </c>
      <c r="AA309" s="280">
        <v>0</v>
      </c>
      <c r="AB309" s="281" t="s">
        <v>592</v>
      </c>
      <c r="AC309" s="282">
        <v>0</v>
      </c>
      <c r="AE309" s="274" t="str">
        <f t="shared" ca="1" si="50"/>
        <v>ELÉCTRICA SOLLERENSE, S.A.</v>
      </c>
      <c r="AF309" s="283">
        <f t="shared" ca="1" si="51"/>
        <v>0</v>
      </c>
    </row>
    <row r="310" spans="11:32" ht="16.5" x14ac:dyDescent="0.3">
      <c r="K310" s="284"/>
      <c r="T310" s="277" t="s">
        <v>675</v>
      </c>
      <c r="U310" s="280">
        <v>0</v>
      </c>
      <c r="V310" s="277" t="s">
        <v>676</v>
      </c>
      <c r="W310" s="280">
        <v>0.43000000715255698</v>
      </c>
      <c r="X310" s="277" t="s">
        <v>626</v>
      </c>
      <c r="Y310" s="280">
        <v>0.34999999403953602</v>
      </c>
      <c r="Z310" s="277" t="s">
        <v>620</v>
      </c>
      <c r="AA310" s="280">
        <v>0.30000001192092901</v>
      </c>
      <c r="AB310" s="281" t="s">
        <v>677</v>
      </c>
      <c r="AC310" s="282">
        <v>0</v>
      </c>
      <c r="AE310" s="274" t="str">
        <f t="shared" ca="1" si="50"/>
        <v>ELÉCTRICA VAQUER ENERGÍA, S.A.</v>
      </c>
      <c r="AF310" s="283">
        <f t="shared" ca="1" si="51"/>
        <v>0</v>
      </c>
    </row>
    <row r="311" spans="11:32" ht="16.5" x14ac:dyDescent="0.3">
      <c r="K311" s="284"/>
      <c r="T311" s="277" t="s">
        <v>524</v>
      </c>
      <c r="U311" s="280">
        <v>1.9999999552965199E-2</v>
      </c>
      <c r="V311" s="277" t="s">
        <v>668</v>
      </c>
      <c r="W311" s="280">
        <v>0.43000000715255698</v>
      </c>
      <c r="X311" s="277" t="s">
        <v>678</v>
      </c>
      <c r="Y311" s="280">
        <v>0.40000000596046498</v>
      </c>
      <c r="Z311" s="277" t="s">
        <v>666</v>
      </c>
      <c r="AA311" s="280">
        <v>0</v>
      </c>
      <c r="AB311" s="281" t="s">
        <v>679</v>
      </c>
      <c r="AC311" s="282">
        <v>0</v>
      </c>
      <c r="AE311" s="274" t="str">
        <f t="shared" ca="1" si="50"/>
        <v>ELÉCTRICA VINALESA SDAD COOP VALENCIANA</v>
      </c>
      <c r="AF311" s="283">
        <f t="shared" ca="1" si="51"/>
        <v>0</v>
      </c>
    </row>
    <row r="312" spans="11:32" ht="16.5" x14ac:dyDescent="0.3">
      <c r="K312" s="284"/>
      <c r="T312" s="277" t="s">
        <v>528</v>
      </c>
      <c r="U312" s="280">
        <v>0</v>
      </c>
      <c r="V312" s="277" t="s">
        <v>680</v>
      </c>
      <c r="W312" s="280">
        <v>0.119999997317791</v>
      </c>
      <c r="X312" s="277" t="s">
        <v>484</v>
      </c>
      <c r="Y312" s="280">
        <v>0.140000000596046</v>
      </c>
      <c r="Z312" s="277" t="s">
        <v>611</v>
      </c>
      <c r="AA312" s="280">
        <v>0</v>
      </c>
      <c r="AB312" s="281" t="s">
        <v>656</v>
      </c>
      <c r="AC312" s="282">
        <v>0.17</v>
      </c>
      <c r="AE312" s="274" t="str">
        <f t="shared" ca="1" si="50"/>
        <v>ELECTRICIDAD ELEIA S.L.</v>
      </c>
      <c r="AF312" s="283">
        <f t="shared" ca="1" si="51"/>
        <v>0.17</v>
      </c>
    </row>
    <row r="313" spans="11:32" ht="16.5" x14ac:dyDescent="0.3">
      <c r="K313" s="284"/>
      <c r="T313" s="277" t="s">
        <v>681</v>
      </c>
      <c r="U313" s="280">
        <v>0.270000010728836</v>
      </c>
      <c r="V313" s="277" t="s">
        <v>682</v>
      </c>
      <c r="W313" s="280">
        <v>0</v>
      </c>
      <c r="X313" s="277" t="s">
        <v>632</v>
      </c>
      <c r="Y313" s="280">
        <v>0</v>
      </c>
      <c r="Z313" s="277" t="s">
        <v>663</v>
      </c>
      <c r="AA313" s="280">
        <v>0.259999990463257</v>
      </c>
      <c r="AB313" s="281" t="s">
        <v>683</v>
      </c>
      <c r="AC313" s="282">
        <v>0</v>
      </c>
      <c r="AE313" s="274" t="str">
        <f t="shared" ca="1" si="50"/>
        <v>ELEGA ENERGÍA SL</v>
      </c>
      <c r="AF313" s="283">
        <f t="shared" ca="1" si="51"/>
        <v>0</v>
      </c>
    </row>
    <row r="314" spans="11:32" ht="16.5" x14ac:dyDescent="0.3">
      <c r="K314" s="284"/>
      <c r="T314" s="277" t="s">
        <v>684</v>
      </c>
      <c r="U314" s="280">
        <v>0</v>
      </c>
      <c r="V314" s="277" t="s">
        <v>673</v>
      </c>
      <c r="W314" s="280">
        <v>0.31000000238418601</v>
      </c>
      <c r="X314" s="277" t="s">
        <v>634</v>
      </c>
      <c r="Y314" s="280">
        <v>0</v>
      </c>
      <c r="Z314" s="277" t="s">
        <v>685</v>
      </c>
      <c r="AA314" s="280">
        <v>0.270000010728836</v>
      </c>
      <c r="AB314" s="281" t="s">
        <v>686</v>
      </c>
      <c r="AC314" s="282">
        <v>0.21</v>
      </c>
      <c r="AE314" s="274" t="str">
        <f t="shared" ca="1" si="50"/>
        <v>ELEKTRON COMERCIALIZADORA DE ENERGÍA, SOCIEDAD LIMITADA</v>
      </c>
      <c r="AF314" s="283">
        <f t="shared" ca="1" si="51"/>
        <v>0.21</v>
      </c>
    </row>
    <row r="315" spans="11:32" ht="16.5" x14ac:dyDescent="0.3">
      <c r="K315" s="284"/>
      <c r="T315" s="277" t="s">
        <v>687</v>
      </c>
      <c r="U315" s="280">
        <v>0</v>
      </c>
      <c r="V315" s="277" t="s">
        <v>688</v>
      </c>
      <c r="W315" s="280">
        <v>0</v>
      </c>
      <c r="X315" s="277" t="s">
        <v>636</v>
      </c>
      <c r="Y315" s="280">
        <v>7.9999998211860698E-2</v>
      </c>
      <c r="Z315" s="277" t="s">
        <v>556</v>
      </c>
      <c r="AA315" s="280">
        <v>0.10000000149011599</v>
      </c>
      <c r="AB315" s="281" t="s">
        <v>689</v>
      </c>
      <c r="AC315" s="282">
        <v>0</v>
      </c>
      <c r="AE315" s="274" t="str">
        <f t="shared" ca="1" si="50"/>
        <v>ELEVA 2 COMERCIALIZADORA SL</v>
      </c>
      <c r="AF315" s="283">
        <f t="shared" ca="1" si="51"/>
        <v>0</v>
      </c>
    </row>
    <row r="316" spans="11:32" ht="16.5" x14ac:dyDescent="0.3">
      <c r="K316" s="284"/>
      <c r="T316" s="277" t="s">
        <v>690</v>
      </c>
      <c r="U316" s="280">
        <v>0</v>
      </c>
      <c r="V316" s="277" t="s">
        <v>691</v>
      </c>
      <c r="W316" s="280">
        <v>0.34000000357627902</v>
      </c>
      <c r="X316" s="277" t="s">
        <v>692</v>
      </c>
      <c r="Y316" s="280">
        <v>0.40000000596046498</v>
      </c>
      <c r="Z316" s="277" t="s">
        <v>484</v>
      </c>
      <c r="AA316" s="280">
        <v>0.17000000178813901</v>
      </c>
      <c r="AB316" s="281" t="s">
        <v>529</v>
      </c>
      <c r="AC316" s="282">
        <v>0</v>
      </c>
      <c r="AE316" s="274" t="str">
        <f t="shared" ca="1" si="50"/>
        <v>ELÉCTRICA DE MELIANA, S.C.V.</v>
      </c>
      <c r="AF316" s="283">
        <f t="shared" ca="1" si="51"/>
        <v>0</v>
      </c>
    </row>
    <row r="317" spans="11:32" ht="16.5" x14ac:dyDescent="0.3">
      <c r="K317" s="284"/>
      <c r="T317" s="277" t="s">
        <v>693</v>
      </c>
      <c r="U317" s="280">
        <v>0</v>
      </c>
      <c r="V317" s="277" t="s">
        <v>524</v>
      </c>
      <c r="W317" s="280">
        <v>0</v>
      </c>
      <c r="X317" s="277" t="s">
        <v>486</v>
      </c>
      <c r="Y317" s="280">
        <v>0.28000000119209301</v>
      </c>
      <c r="Z317" s="277" t="s">
        <v>674</v>
      </c>
      <c r="AA317" s="280">
        <v>0</v>
      </c>
      <c r="AB317" s="281" t="s">
        <v>533</v>
      </c>
      <c r="AC317" s="282">
        <v>0</v>
      </c>
      <c r="AE317" s="274" t="str">
        <f t="shared" ca="1" si="50"/>
        <v>ELÉCTRICA DE SOT DE CHERA S. COOP.V.</v>
      </c>
      <c r="AF317" s="283">
        <f t="shared" ca="1" si="51"/>
        <v>0</v>
      </c>
    </row>
    <row r="318" spans="11:32" ht="15" customHeight="1" x14ac:dyDescent="0.3">
      <c r="K318" s="284"/>
      <c r="T318" s="277" t="s">
        <v>694</v>
      </c>
      <c r="U318" s="280">
        <v>0</v>
      </c>
      <c r="V318" s="277" t="s">
        <v>681</v>
      </c>
      <c r="W318" s="280">
        <v>0.40000000596046498</v>
      </c>
      <c r="X318" s="277" t="s">
        <v>512</v>
      </c>
      <c r="Y318" s="280">
        <v>0</v>
      </c>
      <c r="Z318" s="277" t="s">
        <v>626</v>
      </c>
      <c r="AA318" s="280">
        <v>0.259999990463257</v>
      </c>
      <c r="AB318" s="281" t="s">
        <v>544</v>
      </c>
      <c r="AC318" s="282">
        <v>0</v>
      </c>
      <c r="AE318" s="274" t="str">
        <f t="shared" ca="1" si="50"/>
        <v>EMASP, S. COOP.</v>
      </c>
      <c r="AF318" s="283">
        <f t="shared" ca="1" si="51"/>
        <v>0</v>
      </c>
    </row>
    <row r="319" spans="11:32" ht="16.5" x14ac:dyDescent="0.3">
      <c r="K319" s="284"/>
      <c r="T319" s="277" t="s">
        <v>695</v>
      </c>
      <c r="U319" s="280">
        <v>0.259999990463257</v>
      </c>
      <c r="V319" s="277" t="s">
        <v>684</v>
      </c>
      <c r="W319" s="280">
        <v>0</v>
      </c>
      <c r="X319" s="277" t="s">
        <v>644</v>
      </c>
      <c r="Y319" s="280">
        <v>0.36000001430511502</v>
      </c>
      <c r="Z319" s="277" t="s">
        <v>678</v>
      </c>
      <c r="AA319" s="280">
        <v>0.30000001192092901</v>
      </c>
      <c r="AB319" s="281" t="s">
        <v>649</v>
      </c>
      <c r="AC319" s="282">
        <v>0.25</v>
      </c>
      <c r="AE319" s="274" t="str">
        <f t="shared" ca="1" si="50"/>
        <v>EMPRESA DE ALUMBRADO ELECTRICO DE CEUTA, S.A.</v>
      </c>
      <c r="AF319" s="283">
        <f t="shared" ca="1" si="51"/>
        <v>0.25</v>
      </c>
    </row>
    <row r="320" spans="11:32" ht="16.5" x14ac:dyDescent="0.3">
      <c r="T320" s="277" t="s">
        <v>696</v>
      </c>
      <c r="U320" s="280">
        <v>0</v>
      </c>
      <c r="V320" s="277" t="s">
        <v>687</v>
      </c>
      <c r="W320" s="280">
        <v>0</v>
      </c>
      <c r="X320" s="277" t="s">
        <v>697</v>
      </c>
      <c r="Y320" s="280">
        <v>9.00000035762787E-2</v>
      </c>
      <c r="Z320" s="277" t="s">
        <v>634</v>
      </c>
      <c r="AA320" s="280">
        <v>0</v>
      </c>
      <c r="AB320" s="281" t="s">
        <v>477</v>
      </c>
      <c r="AC320" s="282">
        <v>0</v>
      </c>
      <c r="AE320" s="274" t="str">
        <f t="shared" ca="1" si="50"/>
        <v>ENARA GESTIÓN Y MEDIACIÓN, S.L.</v>
      </c>
      <c r="AF320" s="283">
        <f t="shared" ca="1" si="51"/>
        <v>0</v>
      </c>
    </row>
    <row r="321" spans="20:32" ht="16.5" x14ac:dyDescent="0.3">
      <c r="T321" s="277" t="s">
        <v>613</v>
      </c>
      <c r="U321" s="280">
        <v>0</v>
      </c>
      <c r="V321" s="277" t="s">
        <v>698</v>
      </c>
      <c r="W321" s="280">
        <v>0.40000000596046498</v>
      </c>
      <c r="X321" s="277" t="s">
        <v>646</v>
      </c>
      <c r="Y321" s="280">
        <v>0</v>
      </c>
      <c r="Z321" s="277" t="s">
        <v>636</v>
      </c>
      <c r="AA321" s="280">
        <v>0.17000000178813901</v>
      </c>
      <c r="AB321" s="281" t="s">
        <v>480</v>
      </c>
      <c r="AC321" s="282">
        <v>0.2</v>
      </c>
      <c r="AE321" s="274" t="str">
        <f t="shared" ca="1" si="50"/>
        <v>ENDESA ENERGÍA, S.A.</v>
      </c>
      <c r="AF321" s="283">
        <f t="shared" ca="1" si="51"/>
        <v>0.2</v>
      </c>
    </row>
    <row r="322" spans="20:32" ht="16.5" x14ac:dyDescent="0.3">
      <c r="T322" s="277" t="s">
        <v>699</v>
      </c>
      <c r="U322" s="280">
        <v>0</v>
      </c>
      <c r="V322" s="277" t="s">
        <v>690</v>
      </c>
      <c r="W322" s="280">
        <v>0</v>
      </c>
      <c r="X322" s="277" t="s">
        <v>648</v>
      </c>
      <c r="Y322" s="280">
        <v>0.34999999403953602</v>
      </c>
      <c r="Z322" s="277" t="s">
        <v>692</v>
      </c>
      <c r="AA322" s="280">
        <v>0.31000000238418601</v>
      </c>
      <c r="AB322" s="281" t="s">
        <v>700</v>
      </c>
      <c r="AC322" s="282">
        <v>0</v>
      </c>
      <c r="AE322" s="274" t="str">
        <f t="shared" ca="1" si="50"/>
        <v>ENDESA ENERGÍA RENOVABLE, S.L.</v>
      </c>
      <c r="AF322" s="283">
        <f t="shared" ca="1" si="51"/>
        <v>0</v>
      </c>
    </row>
    <row r="323" spans="20:32" ht="16.5" x14ac:dyDescent="0.3">
      <c r="T323" s="277" t="s">
        <v>615</v>
      </c>
      <c r="U323" s="280">
        <v>0</v>
      </c>
      <c r="V323" s="277" t="s">
        <v>693</v>
      </c>
      <c r="W323" s="280">
        <v>5.9999998658895499E-2</v>
      </c>
      <c r="X323" s="277" t="s">
        <v>647</v>
      </c>
      <c r="Y323" s="280">
        <v>0</v>
      </c>
      <c r="Z323" s="277" t="s">
        <v>486</v>
      </c>
      <c r="AA323" s="280">
        <v>0.20999999344348899</v>
      </c>
      <c r="AB323" s="281" t="s">
        <v>701</v>
      </c>
      <c r="AC323" s="282">
        <v>0</v>
      </c>
      <c r="AE323" s="274" t="str">
        <f t="shared" ca="1" si="50"/>
        <v>ENDI ENERGY TRADING SOCIEDAD LIMITADA</v>
      </c>
      <c r="AF323" s="283">
        <f t="shared" ca="1" si="51"/>
        <v>0</v>
      </c>
    </row>
    <row r="324" spans="20:32" ht="16.5" x14ac:dyDescent="0.3">
      <c r="T324" s="277" t="s">
        <v>702</v>
      </c>
      <c r="U324" s="280">
        <v>7.0000000298023196E-2</v>
      </c>
      <c r="V324" s="277" t="s">
        <v>694</v>
      </c>
      <c r="W324" s="280">
        <v>0</v>
      </c>
      <c r="X324" s="277" t="s">
        <v>489</v>
      </c>
      <c r="Y324" s="280">
        <v>0.25</v>
      </c>
      <c r="Z324" s="277" t="s">
        <v>703</v>
      </c>
      <c r="AA324" s="280">
        <v>0</v>
      </c>
      <c r="AB324" s="281" t="s">
        <v>667</v>
      </c>
      <c r="AC324" s="282">
        <v>0</v>
      </c>
      <c r="AE324" s="274" t="str">
        <f t="shared" ca="1" si="50"/>
        <v>ENELUZ 2025, S.L.</v>
      </c>
      <c r="AF324" s="283">
        <f t="shared" ca="1" si="51"/>
        <v>0</v>
      </c>
    </row>
    <row r="325" spans="20:32" ht="16.5" x14ac:dyDescent="0.3">
      <c r="T325" s="277" t="s">
        <v>704</v>
      </c>
      <c r="U325" s="280">
        <v>0</v>
      </c>
      <c r="V325" s="277" t="s">
        <v>705</v>
      </c>
      <c r="W325" s="280">
        <v>0</v>
      </c>
      <c r="X325" s="277" t="s">
        <v>652</v>
      </c>
      <c r="Y325" s="280">
        <v>0</v>
      </c>
      <c r="Z325" s="277" t="s">
        <v>512</v>
      </c>
      <c r="AA325" s="280">
        <v>0</v>
      </c>
      <c r="AB325" s="281" t="s">
        <v>493</v>
      </c>
      <c r="AC325" s="282">
        <v>0.21</v>
      </c>
      <c r="AE325" s="274" t="str">
        <f t="shared" ca="1" si="50"/>
        <v>ENERCOLUZ ENERGÍA, S.L.</v>
      </c>
      <c r="AF325" s="283">
        <f t="shared" ca="1" si="51"/>
        <v>0.21</v>
      </c>
    </row>
    <row r="326" spans="20:32" ht="16.5" x14ac:dyDescent="0.3">
      <c r="T326" s="277" t="s">
        <v>618</v>
      </c>
      <c r="U326" s="280">
        <v>0.30000001192092901</v>
      </c>
      <c r="V326" s="277" t="s">
        <v>695</v>
      </c>
      <c r="W326" s="280">
        <v>0.38999998569488498</v>
      </c>
      <c r="X326" s="277" t="s">
        <v>492</v>
      </c>
      <c r="Y326" s="280">
        <v>0.40999999642372098</v>
      </c>
      <c r="Z326" s="277" t="s">
        <v>706</v>
      </c>
      <c r="AA326" s="280">
        <v>0.28000000119209301</v>
      </c>
      <c r="AB326" s="281" t="s">
        <v>707</v>
      </c>
      <c r="AC326" s="282">
        <v>0</v>
      </c>
      <c r="AE326" s="274" t="str">
        <f t="shared" ca="1" si="50"/>
        <v>ENERGÍA NÓRDICA, GAS Y ELECTRICIDAD , SL</v>
      </c>
      <c r="AF326" s="283">
        <f t="shared" ca="1" si="51"/>
        <v>0</v>
      </c>
    </row>
    <row r="327" spans="20:32" ht="16.5" x14ac:dyDescent="0.3">
      <c r="T327" s="277" t="s">
        <v>531</v>
      </c>
      <c r="U327" s="280">
        <v>0</v>
      </c>
      <c r="V327" s="277" t="s">
        <v>708</v>
      </c>
      <c r="W327" s="280">
        <v>0</v>
      </c>
      <c r="X327" s="277" t="s">
        <v>651</v>
      </c>
      <c r="Y327" s="280">
        <v>0</v>
      </c>
      <c r="Z327" s="277" t="s">
        <v>697</v>
      </c>
      <c r="AA327" s="280">
        <v>0</v>
      </c>
      <c r="AB327" s="281" t="s">
        <v>709</v>
      </c>
      <c r="AC327" s="282">
        <v>0.03</v>
      </c>
      <c r="AE327" s="274" t="str">
        <f t="shared" ca="1" si="50"/>
        <v>ENERGÍA RIO EZKA-EZKA IBAIA ENERGÍA, S.L.</v>
      </c>
      <c r="AF327" s="283">
        <f t="shared" ca="1" si="51"/>
        <v>0.03</v>
      </c>
    </row>
    <row r="328" spans="20:32" ht="16.5" x14ac:dyDescent="0.3">
      <c r="T328" s="277" t="s">
        <v>623</v>
      </c>
      <c r="U328" s="280">
        <v>0</v>
      </c>
      <c r="V328" s="277" t="s">
        <v>613</v>
      </c>
      <c r="W328" s="280">
        <v>0</v>
      </c>
      <c r="X328" s="277" t="s">
        <v>501</v>
      </c>
      <c r="Y328" s="280">
        <v>0</v>
      </c>
      <c r="Z328" s="277" t="s">
        <v>710</v>
      </c>
      <c r="AA328" s="280">
        <v>0.31000000238418601</v>
      </c>
      <c r="AB328" s="281" t="s">
        <v>685</v>
      </c>
      <c r="AC328" s="282">
        <v>0</v>
      </c>
      <c r="AE328" s="274" t="str">
        <f t="shared" ca="1" si="50"/>
        <v>ENERGÍA VIVA SPAIN, S.L.</v>
      </c>
      <c r="AF328" s="283">
        <f t="shared" ca="1" si="51"/>
        <v>0</v>
      </c>
    </row>
    <row r="329" spans="20:32" ht="16.5" x14ac:dyDescent="0.3">
      <c r="T329" s="277" t="s">
        <v>711</v>
      </c>
      <c r="U329" s="280">
        <v>0.31000000238418601</v>
      </c>
      <c r="V329" s="277" t="s">
        <v>712</v>
      </c>
      <c r="W329" s="280">
        <v>0</v>
      </c>
      <c r="X329" s="277" t="s">
        <v>713</v>
      </c>
      <c r="Y329" s="280">
        <v>0</v>
      </c>
      <c r="Z329" s="277" t="s">
        <v>646</v>
      </c>
      <c r="AA329" s="280">
        <v>0</v>
      </c>
      <c r="AB329" s="281" t="s">
        <v>714</v>
      </c>
      <c r="AC329" s="282">
        <v>0</v>
      </c>
      <c r="AE329" s="274" t="str">
        <f t="shared" ca="1" si="50"/>
        <v>ENERGÍAS DE ESCARRILLA SL</v>
      </c>
      <c r="AF329" s="283">
        <f t="shared" ca="1" si="51"/>
        <v>0</v>
      </c>
    </row>
    <row r="330" spans="20:32" ht="16.5" x14ac:dyDescent="0.3">
      <c r="T330" s="277" t="s">
        <v>625</v>
      </c>
      <c r="U330" s="280">
        <v>0</v>
      </c>
      <c r="V330" s="277" t="s">
        <v>615</v>
      </c>
      <c r="W330" s="280">
        <v>0</v>
      </c>
      <c r="X330" s="277" t="s">
        <v>506</v>
      </c>
      <c r="Y330" s="280">
        <v>0</v>
      </c>
      <c r="Z330" s="277" t="s">
        <v>715</v>
      </c>
      <c r="AA330" s="280">
        <v>0</v>
      </c>
      <c r="AB330" s="281" t="s">
        <v>499</v>
      </c>
      <c r="AC330" s="282">
        <v>0.26</v>
      </c>
      <c r="AE330" s="274" t="str">
        <f t="shared" ca="1" si="50"/>
        <v>ENERGY BY COGEN, S.L.</v>
      </c>
      <c r="AF330" s="283">
        <f t="shared" ca="1" si="51"/>
        <v>0.26</v>
      </c>
    </row>
    <row r="331" spans="20:32" ht="16.5" x14ac:dyDescent="0.3">
      <c r="T331" s="277" t="s">
        <v>630</v>
      </c>
      <c r="U331" s="280">
        <v>0</v>
      </c>
      <c r="V331" s="277" t="s">
        <v>618</v>
      </c>
      <c r="W331" s="280">
        <v>0.31999999284744302</v>
      </c>
      <c r="X331" s="277" t="s">
        <v>657</v>
      </c>
      <c r="Y331" s="280">
        <v>0</v>
      </c>
      <c r="Z331" s="277" t="s">
        <v>648</v>
      </c>
      <c r="AA331" s="280">
        <v>0.270000010728836</v>
      </c>
      <c r="AB331" s="281" t="s">
        <v>556</v>
      </c>
      <c r="AC331" s="282">
        <v>0</v>
      </c>
      <c r="AE331" s="274" t="str">
        <f t="shared" ca="1" si="50"/>
        <v>ENERGY STROM XXI, S.L.</v>
      </c>
      <c r="AF331" s="283">
        <f t="shared" ca="1" si="51"/>
        <v>0</v>
      </c>
    </row>
    <row r="332" spans="20:32" ht="16.5" x14ac:dyDescent="0.3">
      <c r="T332" s="277" t="s">
        <v>583</v>
      </c>
      <c r="U332" s="280">
        <v>0</v>
      </c>
      <c r="V332" s="277" t="s">
        <v>531</v>
      </c>
      <c r="W332" s="280">
        <v>0</v>
      </c>
      <c r="X332" s="277" t="s">
        <v>588</v>
      </c>
      <c r="Y332" s="280">
        <v>0</v>
      </c>
      <c r="Z332" s="277" t="s">
        <v>647</v>
      </c>
      <c r="AA332" s="280">
        <v>0</v>
      </c>
      <c r="AB332" s="281" t="s">
        <v>558</v>
      </c>
      <c r="AC332" s="282">
        <v>0</v>
      </c>
      <c r="AE332" s="274" t="str">
        <f t="shared" ca="1" si="50"/>
        <v>ENERGÍA COLECTIVA, S.L.</v>
      </c>
      <c r="AF332" s="283">
        <f t="shared" ca="1" si="51"/>
        <v>0</v>
      </c>
    </row>
    <row r="333" spans="20:32" ht="16.5" x14ac:dyDescent="0.3">
      <c r="T333" s="277" t="s">
        <v>716</v>
      </c>
      <c r="U333" s="280">
        <v>0</v>
      </c>
      <c r="V333" s="277" t="s">
        <v>717</v>
      </c>
      <c r="W333" s="280">
        <v>0</v>
      </c>
      <c r="X333" s="277" t="s">
        <v>532</v>
      </c>
      <c r="Y333" s="280">
        <v>0</v>
      </c>
      <c r="Z333" s="277" t="s">
        <v>489</v>
      </c>
      <c r="AA333" s="280">
        <v>0.20999999344348899</v>
      </c>
      <c r="AB333" s="281" t="s">
        <v>718</v>
      </c>
      <c r="AC333" s="282">
        <v>0</v>
      </c>
      <c r="AE333" s="274" t="str">
        <f t="shared" ca="1" si="50"/>
        <v>ENERGÍA COSTA DORADA SL</v>
      </c>
      <c r="AF333" s="283">
        <f t="shared" ca="1" si="51"/>
        <v>0</v>
      </c>
    </row>
    <row r="334" spans="20:32" ht="16.5" x14ac:dyDescent="0.3">
      <c r="T334" s="277" t="s">
        <v>719</v>
      </c>
      <c r="U334" s="280">
        <v>0</v>
      </c>
      <c r="V334" s="277" t="s">
        <v>623</v>
      </c>
      <c r="W334" s="280">
        <v>0</v>
      </c>
      <c r="X334" s="277" t="s">
        <v>720</v>
      </c>
      <c r="Y334" s="280">
        <v>0.40999999642372098</v>
      </c>
      <c r="Z334" s="277" t="s">
        <v>651</v>
      </c>
      <c r="AA334" s="280">
        <v>0</v>
      </c>
      <c r="AB334" s="281" t="s">
        <v>620</v>
      </c>
      <c r="AC334" s="282">
        <v>0.22</v>
      </c>
      <c r="AE334" s="274" t="str">
        <f t="shared" ca="1" si="50"/>
        <v>ENERGÍA DLR COMERCIALIZADORA, S.L.</v>
      </c>
      <c r="AF334" s="283">
        <f t="shared" ca="1" si="51"/>
        <v>0.22</v>
      </c>
    </row>
    <row r="335" spans="20:32" ht="16.5" x14ac:dyDescent="0.3">
      <c r="T335" s="277" t="s">
        <v>587</v>
      </c>
      <c r="U335" s="280">
        <v>0</v>
      </c>
      <c r="V335" s="277" t="s">
        <v>721</v>
      </c>
      <c r="W335" s="280">
        <v>0.38999998569488498</v>
      </c>
      <c r="X335" s="277" t="s">
        <v>722</v>
      </c>
      <c r="Y335" s="280">
        <v>0</v>
      </c>
      <c r="Z335" s="277" t="s">
        <v>501</v>
      </c>
      <c r="AA335" s="280">
        <v>0</v>
      </c>
      <c r="AB335" s="281" t="s">
        <v>666</v>
      </c>
      <c r="AC335" s="282">
        <v>0</v>
      </c>
      <c r="AE335" s="274" t="str">
        <f t="shared" ca="1" si="50"/>
        <v>ENERGÍA ELÉCTRICA EFICIENTE, S.L</v>
      </c>
      <c r="AF335" s="283">
        <f t="shared" ca="1" si="51"/>
        <v>0</v>
      </c>
    </row>
    <row r="336" spans="20:32" ht="16.5" x14ac:dyDescent="0.3">
      <c r="T336" s="277" t="s">
        <v>723</v>
      </c>
      <c r="U336" s="280">
        <v>0.28000000119209301</v>
      </c>
      <c r="V336" s="277" t="s">
        <v>625</v>
      </c>
      <c r="W336" s="280">
        <v>0</v>
      </c>
      <c r="X336" s="277" t="s">
        <v>724</v>
      </c>
      <c r="Y336" s="280">
        <v>0</v>
      </c>
      <c r="Z336" s="277" t="s">
        <v>713</v>
      </c>
      <c r="AA336" s="280">
        <v>0</v>
      </c>
      <c r="AB336" s="281" t="s">
        <v>663</v>
      </c>
      <c r="AC336" s="282">
        <v>0.25</v>
      </c>
      <c r="AE336" s="274" t="str">
        <f t="shared" ca="1" si="50"/>
        <v>ENERGÍA NUFRI, S.L.U.</v>
      </c>
      <c r="AF336" s="283">
        <f t="shared" ca="1" si="51"/>
        <v>0.25</v>
      </c>
    </row>
    <row r="337" spans="20:32" ht="16.5" x14ac:dyDescent="0.3">
      <c r="T337" s="277" t="s">
        <v>725</v>
      </c>
      <c r="U337" s="280">
        <v>0.259999990463257</v>
      </c>
      <c r="V337" s="277" t="s">
        <v>630</v>
      </c>
      <c r="W337" s="280">
        <v>0</v>
      </c>
      <c r="X337" s="277" t="s">
        <v>543</v>
      </c>
      <c r="Y337" s="280">
        <v>0</v>
      </c>
      <c r="Z337" s="277" t="s">
        <v>506</v>
      </c>
      <c r="AA337" s="280">
        <v>0</v>
      </c>
      <c r="AB337" s="281" t="s">
        <v>726</v>
      </c>
      <c r="AC337" s="282">
        <v>0</v>
      </c>
      <c r="AE337" s="274" t="str">
        <f t="shared" ca="1" si="50"/>
        <v>ENERGÍAS DE PANTICOSA COMERCIALIZADORA, S.L.</v>
      </c>
      <c r="AF337" s="283">
        <f t="shared" ca="1" si="51"/>
        <v>0</v>
      </c>
    </row>
    <row r="338" spans="20:32" ht="16.5" x14ac:dyDescent="0.3">
      <c r="T338" s="277" t="s">
        <v>638</v>
      </c>
      <c r="U338" s="280">
        <v>0</v>
      </c>
      <c r="V338" s="277" t="s">
        <v>583</v>
      </c>
      <c r="W338" s="280">
        <v>0</v>
      </c>
      <c r="X338" s="277" t="s">
        <v>515</v>
      </c>
      <c r="Y338" s="280">
        <v>0</v>
      </c>
      <c r="Z338" s="277" t="s">
        <v>657</v>
      </c>
      <c r="AA338" s="280">
        <v>0</v>
      </c>
      <c r="AB338" s="281" t="s">
        <v>562</v>
      </c>
      <c r="AC338" s="282">
        <v>0.23</v>
      </c>
      <c r="AE338" s="274" t="str">
        <f t="shared" ca="1" si="50"/>
        <v>ENERPLUS ENERGÍA, S.A.</v>
      </c>
      <c r="AF338" s="283">
        <f t="shared" ca="1" si="51"/>
        <v>0.23</v>
      </c>
    </row>
    <row r="339" spans="20:32" ht="16.5" x14ac:dyDescent="0.3">
      <c r="T339" s="277" t="s">
        <v>727</v>
      </c>
      <c r="U339" s="280">
        <v>0</v>
      </c>
      <c r="V339" s="277" t="s">
        <v>716</v>
      </c>
      <c r="W339" s="280">
        <v>0</v>
      </c>
      <c r="X339" s="277" t="s">
        <v>561</v>
      </c>
      <c r="Y339" s="280">
        <v>0.270000010728836</v>
      </c>
      <c r="Z339" s="277" t="s">
        <v>728</v>
      </c>
      <c r="AA339" s="280">
        <v>0.21999999880790699</v>
      </c>
      <c r="AB339" s="281" t="s">
        <v>626</v>
      </c>
      <c r="AC339" s="282">
        <v>0.2</v>
      </c>
      <c r="AE339" s="274" t="str">
        <f t="shared" ca="1" si="50"/>
        <v>ENGIE ESPAÑA, S.L.U.</v>
      </c>
      <c r="AF339" s="283">
        <f t="shared" ca="1" si="51"/>
        <v>0.2</v>
      </c>
    </row>
    <row r="340" spans="20:32" ht="16.5" x14ac:dyDescent="0.3">
      <c r="T340" s="277" t="s">
        <v>550</v>
      </c>
      <c r="U340" s="280">
        <v>0</v>
      </c>
      <c r="V340" s="277" t="s">
        <v>587</v>
      </c>
      <c r="W340" s="280">
        <v>0</v>
      </c>
      <c r="X340" s="277" t="s">
        <v>729</v>
      </c>
      <c r="Y340" s="280">
        <v>0</v>
      </c>
      <c r="Z340" s="277" t="s">
        <v>588</v>
      </c>
      <c r="AA340" s="280">
        <v>0</v>
      </c>
      <c r="AB340" s="281" t="s">
        <v>678</v>
      </c>
      <c r="AC340" s="282">
        <v>0.24</v>
      </c>
      <c r="AE340" s="274" t="str">
        <f t="shared" ca="1" si="50"/>
        <v>ENSTROGA, S.L.</v>
      </c>
      <c r="AF340" s="283">
        <f t="shared" ca="1" si="51"/>
        <v>0.24</v>
      </c>
    </row>
    <row r="341" spans="20:32" ht="16.5" x14ac:dyDescent="0.3">
      <c r="T341" s="286" t="s">
        <v>542</v>
      </c>
      <c r="U341" s="280">
        <v>0.36</v>
      </c>
      <c r="V341" s="277" t="s">
        <v>723</v>
      </c>
      <c r="W341" s="280">
        <v>0.37000000476837203</v>
      </c>
      <c r="X341" s="277" t="s">
        <v>730</v>
      </c>
      <c r="Y341" s="280">
        <v>0</v>
      </c>
      <c r="Z341" s="277" t="s">
        <v>532</v>
      </c>
      <c r="AA341" s="280">
        <v>0</v>
      </c>
      <c r="AB341" s="281" t="s">
        <v>731</v>
      </c>
      <c r="AC341" s="282">
        <v>0.2</v>
      </c>
      <c r="AE341" s="274" t="str">
        <f t="shared" ca="1" si="50"/>
        <v>ENERGYA VM GESTIÓN DE ENERGÍA, S.L.U.</v>
      </c>
      <c r="AF341" s="283">
        <f t="shared" ca="1" si="51"/>
        <v>0.2</v>
      </c>
    </row>
    <row r="342" spans="20:32" ht="16.5" x14ac:dyDescent="0.3">
      <c r="T342" s="286" t="s">
        <v>549</v>
      </c>
      <c r="U342" s="280">
        <v>0.36</v>
      </c>
      <c r="V342" s="277" t="s">
        <v>732</v>
      </c>
      <c r="W342" s="280">
        <v>0.31999999284744302</v>
      </c>
      <c r="X342" s="277" t="s">
        <v>733</v>
      </c>
      <c r="Y342" s="280">
        <v>0.40999999642372098</v>
      </c>
      <c r="Z342" s="277" t="s">
        <v>720</v>
      </c>
      <c r="AA342" s="280">
        <v>0.31000000238418601</v>
      </c>
      <c r="AB342" s="281" t="s">
        <v>632</v>
      </c>
      <c r="AC342" s="282">
        <v>0</v>
      </c>
      <c r="AE342" s="274" t="str">
        <f t="shared" ca="1" si="50"/>
        <v>EPRESA ENERGÍA, S.A.U.</v>
      </c>
      <c r="AF342" s="283">
        <f t="shared" ca="1" si="51"/>
        <v>0</v>
      </c>
    </row>
    <row r="343" spans="20:32" ht="16.5" x14ac:dyDescent="0.3">
      <c r="V343" s="277" t="s">
        <v>638</v>
      </c>
      <c r="W343" s="280">
        <v>0</v>
      </c>
      <c r="X343" s="277" t="s">
        <v>669</v>
      </c>
      <c r="Y343" s="280">
        <v>0.31000000238418601</v>
      </c>
      <c r="Z343" s="277" t="s">
        <v>722</v>
      </c>
      <c r="AA343" s="280">
        <v>0</v>
      </c>
      <c r="AB343" s="281" t="s">
        <v>634</v>
      </c>
      <c r="AC343" s="282">
        <v>0</v>
      </c>
      <c r="AE343" s="274" t="str">
        <f t="shared" ca="1" si="50"/>
        <v>ESTABANELL Y PAHISA MERCATOR, S.A.</v>
      </c>
      <c r="AF343" s="283">
        <f t="shared" ca="1" si="51"/>
        <v>0</v>
      </c>
    </row>
    <row r="344" spans="20:32" ht="16.5" x14ac:dyDescent="0.3">
      <c r="V344" s="277" t="s">
        <v>727</v>
      </c>
      <c r="W344" s="280">
        <v>0.18000000715255701</v>
      </c>
      <c r="X344" s="277" t="s">
        <v>598</v>
      </c>
      <c r="Y344" s="280">
        <v>0.31000000238418601</v>
      </c>
      <c r="Z344" s="277" t="s">
        <v>724</v>
      </c>
      <c r="AA344" s="280">
        <v>0</v>
      </c>
      <c r="AB344" s="281" t="s">
        <v>636</v>
      </c>
      <c r="AC344" s="282">
        <v>0.18</v>
      </c>
      <c r="AE344" s="274" t="str">
        <f t="shared" ca="1" si="50"/>
        <v>ESTRATEGIAS ELÉCTRICAS INTEGRALES, S.A.</v>
      </c>
      <c r="AF344" s="283">
        <f t="shared" ca="1" si="51"/>
        <v>0.18</v>
      </c>
    </row>
    <row r="345" spans="20:32" ht="16.5" x14ac:dyDescent="0.3">
      <c r="V345" s="286" t="s">
        <v>542</v>
      </c>
      <c r="W345" s="280">
        <v>0.43</v>
      </c>
      <c r="X345" s="277" t="s">
        <v>734</v>
      </c>
      <c r="Y345" s="280">
        <v>0.40999999642372098</v>
      </c>
      <c r="Z345" s="277" t="s">
        <v>543</v>
      </c>
      <c r="AA345" s="280">
        <v>0</v>
      </c>
      <c r="AB345" s="281" t="s">
        <v>735</v>
      </c>
      <c r="AC345" s="282">
        <v>0</v>
      </c>
      <c r="AE345" s="274" t="str">
        <f t="shared" ca="1" si="50"/>
        <v>ETERNAL ENERGY S.L.</v>
      </c>
      <c r="AF345" s="283">
        <f t="shared" ca="1" si="51"/>
        <v>0</v>
      </c>
    </row>
    <row r="346" spans="20:32" ht="16.5" x14ac:dyDescent="0.3">
      <c r="V346" s="286" t="s">
        <v>549</v>
      </c>
      <c r="W346" s="280">
        <v>0.43</v>
      </c>
      <c r="X346" s="277" t="s">
        <v>599</v>
      </c>
      <c r="Y346" s="280">
        <v>0</v>
      </c>
      <c r="Z346" s="277" t="s">
        <v>515</v>
      </c>
      <c r="AA346" s="280">
        <v>0</v>
      </c>
      <c r="AB346" s="281" t="s">
        <v>692</v>
      </c>
      <c r="AC346" s="282">
        <v>0.25</v>
      </c>
      <c r="AE346" s="274" t="str">
        <f t="shared" ca="1" si="50"/>
        <v>EVERGREEN ELÉCTRICA, S.L.</v>
      </c>
      <c r="AF346" s="283">
        <f t="shared" ca="1" si="51"/>
        <v>0.25</v>
      </c>
    </row>
    <row r="347" spans="20:32" ht="16.5" x14ac:dyDescent="0.3">
      <c r="X347" s="277" t="s">
        <v>736</v>
      </c>
      <c r="Y347" s="280">
        <v>0.40999999642372098</v>
      </c>
      <c r="Z347" s="277" t="s">
        <v>737</v>
      </c>
      <c r="AA347" s="280">
        <v>0</v>
      </c>
      <c r="AB347" s="281" t="s">
        <v>486</v>
      </c>
      <c r="AC347" s="282">
        <v>0.16</v>
      </c>
      <c r="AE347" s="274" t="str">
        <f t="shared" ca="1" si="50"/>
        <v>FACTOR ENERGÍA, S.A.</v>
      </c>
      <c r="AF347" s="283">
        <f t="shared" ca="1" si="51"/>
        <v>0.16</v>
      </c>
    </row>
    <row r="348" spans="20:32" ht="16.5" x14ac:dyDescent="0.3">
      <c r="X348" s="277" t="s">
        <v>668</v>
      </c>
      <c r="Y348" s="280">
        <v>0.40999999642372098</v>
      </c>
      <c r="Z348" s="277" t="s">
        <v>561</v>
      </c>
      <c r="AA348" s="280">
        <v>0.20000000298023199</v>
      </c>
      <c r="AB348" s="281" t="s">
        <v>738</v>
      </c>
      <c r="AC348" s="282">
        <v>0</v>
      </c>
      <c r="AE348" s="274" t="str">
        <f t="shared" ca="1" si="50"/>
        <v>FACTOR INTEGRAL TRADING SERVICES SAU</v>
      </c>
      <c r="AF348" s="283">
        <f t="shared" ca="1" si="51"/>
        <v>0</v>
      </c>
    </row>
    <row r="349" spans="20:32" ht="16.5" x14ac:dyDescent="0.3">
      <c r="X349" s="277" t="s">
        <v>680</v>
      </c>
      <c r="Y349" s="280">
        <v>9.9999997764825804E-3</v>
      </c>
      <c r="Z349" s="277" t="s">
        <v>729</v>
      </c>
      <c r="AA349" s="280">
        <v>0</v>
      </c>
      <c r="AB349" s="281" t="s">
        <v>739</v>
      </c>
      <c r="AC349" s="282">
        <v>0</v>
      </c>
      <c r="AE349" s="274" t="str">
        <f t="shared" ca="1" si="50"/>
        <v>FAIN ENERGÍA, S.L.</v>
      </c>
      <c r="AF349" s="283">
        <f t="shared" ca="1" si="51"/>
        <v>0</v>
      </c>
    </row>
    <row r="350" spans="20:32" ht="16.5" x14ac:dyDescent="0.3">
      <c r="X350" s="277" t="s">
        <v>740</v>
      </c>
      <c r="Y350" s="280">
        <v>0</v>
      </c>
      <c r="Z350" s="277" t="s">
        <v>730</v>
      </c>
      <c r="AA350" s="280">
        <v>0</v>
      </c>
      <c r="AB350" s="281" t="s">
        <v>512</v>
      </c>
      <c r="AC350" s="282">
        <v>0</v>
      </c>
      <c r="AE350" s="274" t="str">
        <f t="shared" ca="1" si="50"/>
        <v>FENIE ENERGÍA, S.A.</v>
      </c>
      <c r="AF350" s="283">
        <f t="shared" ca="1" si="51"/>
        <v>0</v>
      </c>
    </row>
    <row r="351" spans="20:32" ht="16.5" x14ac:dyDescent="0.3">
      <c r="X351" s="277" t="s">
        <v>741</v>
      </c>
      <c r="Y351" s="280">
        <v>0</v>
      </c>
      <c r="Z351" s="277" t="s">
        <v>733</v>
      </c>
      <c r="AA351" s="280">
        <v>0.31000000238418601</v>
      </c>
      <c r="AB351" s="281" t="s">
        <v>742</v>
      </c>
      <c r="AC351" s="282">
        <v>0.24</v>
      </c>
      <c r="AE351" s="274" t="str">
        <f t="shared" ref="AE351:AE414" ca="1" si="52">INDIRECT("_Com"&amp;$F$2)</f>
        <v>FORTIA ENERGÍA, S.L.</v>
      </c>
      <c r="AF351" s="283">
        <f t="shared" ref="AF351:AF414" ca="1" si="53">INDIRECT("_Mix"&amp;$F$2)</f>
        <v>0.24</v>
      </c>
    </row>
    <row r="352" spans="20:32" ht="16.5" x14ac:dyDescent="0.3">
      <c r="X352" s="277" t="s">
        <v>673</v>
      </c>
      <c r="Y352" s="280">
        <v>0.34000000357627902</v>
      </c>
      <c r="Z352" s="277" t="s">
        <v>669</v>
      </c>
      <c r="AA352" s="280">
        <v>0</v>
      </c>
      <c r="AB352" s="281" t="s">
        <v>697</v>
      </c>
      <c r="AC352" s="282">
        <v>0</v>
      </c>
      <c r="AE352" s="274" t="str">
        <f t="shared" ca="1" si="52"/>
        <v>FORZA VSUNAIR, S.L.</v>
      </c>
      <c r="AF352" s="283">
        <f t="shared" ca="1" si="53"/>
        <v>0</v>
      </c>
    </row>
    <row r="353" spans="24:32" ht="16.5" x14ac:dyDescent="0.3">
      <c r="X353" s="277" t="s">
        <v>688</v>
      </c>
      <c r="Y353" s="280">
        <v>0</v>
      </c>
      <c r="Z353" s="277" t="s">
        <v>598</v>
      </c>
      <c r="AA353" s="280">
        <v>0.129999995231628</v>
      </c>
      <c r="AB353" s="281" t="s">
        <v>743</v>
      </c>
      <c r="AC353" s="282">
        <v>0.31</v>
      </c>
      <c r="AE353" s="274" t="str">
        <f t="shared" ca="1" si="52"/>
        <v>FOX ENERGÍA S.A</v>
      </c>
      <c r="AF353" s="283">
        <f t="shared" ca="1" si="53"/>
        <v>0.31</v>
      </c>
    </row>
    <row r="354" spans="24:32" ht="16.5" x14ac:dyDescent="0.3">
      <c r="X354" s="277" t="s">
        <v>744</v>
      </c>
      <c r="Y354" s="280">
        <v>0</v>
      </c>
      <c r="Z354" s="277" t="s">
        <v>734</v>
      </c>
      <c r="AA354" s="280">
        <v>0.28999999165535001</v>
      </c>
      <c r="AB354" s="281" t="s">
        <v>646</v>
      </c>
      <c r="AC354" s="282">
        <v>0</v>
      </c>
      <c r="AE354" s="274" t="str">
        <f t="shared" ca="1" si="52"/>
        <v>FUSIONA COMERCIALIZADORA, S.A.</v>
      </c>
      <c r="AF354" s="283">
        <f t="shared" ca="1" si="53"/>
        <v>0</v>
      </c>
    </row>
    <row r="355" spans="24:32" ht="16.5" x14ac:dyDescent="0.3">
      <c r="X355" s="277" t="s">
        <v>745</v>
      </c>
      <c r="Y355" s="280">
        <v>2.9999999329447701E-2</v>
      </c>
      <c r="Z355" s="277" t="s">
        <v>599</v>
      </c>
      <c r="AA355" s="280">
        <v>0</v>
      </c>
      <c r="AB355" s="281" t="s">
        <v>746</v>
      </c>
      <c r="AC355" s="282">
        <v>0.21</v>
      </c>
      <c r="AE355" s="274" t="str">
        <f t="shared" ca="1" si="52"/>
        <v>FOENER ENERGÍA, S.L</v>
      </c>
      <c r="AF355" s="283">
        <f t="shared" ca="1" si="53"/>
        <v>0.21</v>
      </c>
    </row>
    <row r="356" spans="24:32" ht="16.5" x14ac:dyDescent="0.3">
      <c r="X356" s="277" t="s">
        <v>691</v>
      </c>
      <c r="Y356" s="280">
        <v>0.31000000238418601</v>
      </c>
      <c r="Z356" s="277" t="s">
        <v>747</v>
      </c>
      <c r="AA356" s="280">
        <v>0</v>
      </c>
      <c r="AB356" s="281" t="s">
        <v>715</v>
      </c>
      <c r="AC356" s="282">
        <v>0</v>
      </c>
      <c r="AE356" s="274" t="str">
        <f t="shared" ca="1" si="52"/>
        <v>GAIA GLOBAL ENERGY SOCIEDAD LIMITADA</v>
      </c>
      <c r="AF356" s="283">
        <f t="shared" ca="1" si="53"/>
        <v>0</v>
      </c>
    </row>
    <row r="357" spans="24:32" ht="16.5" x14ac:dyDescent="0.3">
      <c r="X357" s="277" t="s">
        <v>524</v>
      </c>
      <c r="Y357" s="280">
        <v>0</v>
      </c>
      <c r="Z357" s="277" t="s">
        <v>668</v>
      </c>
      <c r="AA357" s="280">
        <v>0.31000000238418601</v>
      </c>
      <c r="AB357" s="281" t="s">
        <v>648</v>
      </c>
      <c r="AC357" s="282">
        <v>0.24</v>
      </c>
      <c r="AE357" s="274" t="str">
        <f t="shared" ca="1" si="52"/>
        <v>GALP ENERGÍA ESPAÑA S.A.U.</v>
      </c>
      <c r="AF357" s="283">
        <f t="shared" ca="1" si="53"/>
        <v>0.24</v>
      </c>
    </row>
    <row r="358" spans="24:32" ht="16.5" x14ac:dyDescent="0.3">
      <c r="X358" s="277" t="s">
        <v>681</v>
      </c>
      <c r="Y358" s="280">
        <v>0.37000000476837203</v>
      </c>
      <c r="Z358" s="277" t="s">
        <v>736</v>
      </c>
      <c r="AA358" s="280">
        <v>0.30000001192092901</v>
      </c>
      <c r="AB358" s="281" t="s">
        <v>647</v>
      </c>
      <c r="AC358" s="282">
        <v>0</v>
      </c>
      <c r="AE358" s="274" t="str">
        <f t="shared" ca="1" si="52"/>
        <v>GAOLANIA SERVICIOS, S.L.</v>
      </c>
      <c r="AF358" s="283">
        <f t="shared" ca="1" si="53"/>
        <v>0</v>
      </c>
    </row>
    <row r="359" spans="24:32" ht="16.5" x14ac:dyDescent="0.3">
      <c r="X359" s="277" t="s">
        <v>684</v>
      </c>
      <c r="Y359" s="280">
        <v>0</v>
      </c>
      <c r="Z359" s="277" t="s">
        <v>748</v>
      </c>
      <c r="AA359" s="280">
        <v>0</v>
      </c>
      <c r="AB359" s="281" t="s">
        <v>489</v>
      </c>
      <c r="AC359" s="282">
        <v>0.14000000000000001</v>
      </c>
      <c r="AE359" s="274" t="str">
        <f t="shared" ca="1" si="52"/>
        <v>GAS NATURAL COMERCIALIZADORA, S.A.</v>
      </c>
      <c r="AF359" s="283">
        <f t="shared" ca="1" si="53"/>
        <v>0.14000000000000001</v>
      </c>
    </row>
    <row r="360" spans="24:32" ht="16.5" x14ac:dyDescent="0.3">
      <c r="X360" s="277" t="s">
        <v>687</v>
      </c>
      <c r="Y360" s="280">
        <v>0</v>
      </c>
      <c r="Z360" s="277" t="s">
        <v>680</v>
      </c>
      <c r="AA360" s="280">
        <v>0.109999999403954</v>
      </c>
      <c r="AB360" s="281" t="s">
        <v>749</v>
      </c>
      <c r="AC360" s="282">
        <v>0</v>
      </c>
      <c r="AE360" s="274" t="str">
        <f t="shared" ca="1" si="52"/>
        <v>GASILUZ ECO ENERCIA S.L.</v>
      </c>
      <c r="AF360" s="283">
        <f t="shared" ca="1" si="53"/>
        <v>0</v>
      </c>
    </row>
    <row r="361" spans="24:32" ht="16.5" x14ac:dyDescent="0.3">
      <c r="X361" s="277" t="s">
        <v>690</v>
      </c>
      <c r="Y361" s="280">
        <v>0</v>
      </c>
      <c r="Z361" s="277" t="s">
        <v>750</v>
      </c>
      <c r="AA361" s="280">
        <v>0</v>
      </c>
      <c r="AB361" s="281" t="s">
        <v>651</v>
      </c>
      <c r="AC361" s="282">
        <v>0</v>
      </c>
      <c r="AE361" s="274" t="str">
        <f t="shared" ca="1" si="52"/>
        <v>GEO ALTERNATIVA, S.L.</v>
      </c>
      <c r="AF361" s="283">
        <f t="shared" ca="1" si="53"/>
        <v>0</v>
      </c>
    </row>
    <row r="362" spans="24:32" ht="16.5" x14ac:dyDescent="0.3">
      <c r="X362" s="277" t="s">
        <v>693</v>
      </c>
      <c r="Y362" s="280">
        <v>0</v>
      </c>
      <c r="Z362" s="277" t="s">
        <v>751</v>
      </c>
      <c r="AA362" s="280">
        <v>0</v>
      </c>
      <c r="AB362" s="281" t="s">
        <v>501</v>
      </c>
      <c r="AC362" s="282">
        <v>0</v>
      </c>
      <c r="AE362" s="274" t="str">
        <f t="shared" ca="1" si="52"/>
        <v>GEOATLANTER, S.L.</v>
      </c>
      <c r="AF362" s="283">
        <f t="shared" ca="1" si="53"/>
        <v>0</v>
      </c>
    </row>
    <row r="363" spans="24:32" ht="16.5" x14ac:dyDescent="0.3">
      <c r="X363" s="277" t="s">
        <v>694</v>
      </c>
      <c r="Y363" s="280">
        <v>0</v>
      </c>
      <c r="Z363" s="277" t="s">
        <v>740</v>
      </c>
      <c r="AA363" s="280">
        <v>0</v>
      </c>
      <c r="AB363" s="281" t="s">
        <v>713</v>
      </c>
      <c r="AC363" s="282">
        <v>0</v>
      </c>
      <c r="AE363" s="274" t="str">
        <f t="shared" ca="1" si="52"/>
        <v>GERENTA ENERGÍA, S.L.U</v>
      </c>
      <c r="AF363" s="283">
        <f t="shared" ca="1" si="53"/>
        <v>0</v>
      </c>
    </row>
    <row r="364" spans="24:32" ht="16.5" x14ac:dyDescent="0.3">
      <c r="X364" s="277" t="s">
        <v>705</v>
      </c>
      <c r="Y364" s="280">
        <v>0</v>
      </c>
      <c r="Z364" s="277" t="s">
        <v>673</v>
      </c>
      <c r="AA364" s="280">
        <v>0.25</v>
      </c>
      <c r="AB364" s="281" t="s">
        <v>506</v>
      </c>
      <c r="AC364" s="282">
        <v>0</v>
      </c>
      <c r="AE364" s="274" t="str">
        <f t="shared" ca="1" si="52"/>
        <v>GESTERNOVA, S.A.</v>
      </c>
      <c r="AF364" s="283">
        <f t="shared" ca="1" si="53"/>
        <v>0</v>
      </c>
    </row>
    <row r="365" spans="24:32" ht="16.5" x14ac:dyDescent="0.3">
      <c r="X365" s="277" t="s">
        <v>695</v>
      </c>
      <c r="Y365" s="280">
        <v>0.38999998569488498</v>
      </c>
      <c r="Z365" s="277" t="s">
        <v>752</v>
      </c>
      <c r="AA365" s="280">
        <v>0</v>
      </c>
      <c r="AB365" s="281" t="s">
        <v>753</v>
      </c>
      <c r="AC365" s="282">
        <v>0</v>
      </c>
      <c r="AE365" s="274" t="str">
        <f t="shared" ca="1" si="52"/>
        <v>GESTINER INGENIEROS, S.L.</v>
      </c>
      <c r="AF365" s="283">
        <f t="shared" ca="1" si="53"/>
        <v>0</v>
      </c>
    </row>
    <row r="366" spans="24:32" ht="16.5" x14ac:dyDescent="0.3">
      <c r="X366" s="277" t="s">
        <v>696</v>
      </c>
      <c r="Y366" s="280">
        <v>0</v>
      </c>
      <c r="Z366" s="277" t="s">
        <v>688</v>
      </c>
      <c r="AA366" s="280">
        <v>0</v>
      </c>
      <c r="AB366" s="281" t="s">
        <v>657</v>
      </c>
      <c r="AC366" s="282">
        <v>0</v>
      </c>
      <c r="AE366" s="274" t="str">
        <f t="shared" ca="1" si="52"/>
        <v>GLOBAL BIOSFERA PROTEC, S.L.</v>
      </c>
      <c r="AF366" s="283">
        <f t="shared" ca="1" si="53"/>
        <v>0</v>
      </c>
    </row>
    <row r="367" spans="24:32" ht="16.5" x14ac:dyDescent="0.3">
      <c r="X367" s="277" t="s">
        <v>613</v>
      </c>
      <c r="Y367" s="280">
        <v>0</v>
      </c>
      <c r="Z367" s="277" t="s">
        <v>754</v>
      </c>
      <c r="AA367" s="280">
        <v>0.28000000119209301</v>
      </c>
      <c r="AB367" s="281" t="s">
        <v>728</v>
      </c>
      <c r="AC367" s="282">
        <v>0.23</v>
      </c>
      <c r="AE367" s="274" t="str">
        <f t="shared" ca="1" si="52"/>
        <v>GLOBELIGHT ENERGY S.L</v>
      </c>
      <c r="AF367" s="283">
        <f t="shared" ca="1" si="53"/>
        <v>0.23</v>
      </c>
    </row>
    <row r="368" spans="24:32" ht="16.5" x14ac:dyDescent="0.3">
      <c r="X368" s="277" t="s">
        <v>699</v>
      </c>
      <c r="Y368" s="280">
        <v>0</v>
      </c>
      <c r="Z368" s="277" t="s">
        <v>744</v>
      </c>
      <c r="AA368" s="280">
        <v>0</v>
      </c>
      <c r="AB368" s="281" t="s">
        <v>662</v>
      </c>
      <c r="AC368" s="282">
        <v>0</v>
      </c>
      <c r="AE368" s="274" t="str">
        <f t="shared" ca="1" si="52"/>
        <v>GNERA ENERGÍA Y TECNOLOGÍA, S.L.</v>
      </c>
      <c r="AF368" s="283">
        <f t="shared" ca="1" si="53"/>
        <v>0</v>
      </c>
    </row>
    <row r="369" spans="24:32" ht="16.5" x14ac:dyDescent="0.3">
      <c r="X369" s="277" t="s">
        <v>755</v>
      </c>
      <c r="Y369" s="280">
        <v>0.239999994635582</v>
      </c>
      <c r="Z369" s="277" t="s">
        <v>745</v>
      </c>
      <c r="AA369" s="280">
        <v>0</v>
      </c>
      <c r="AB369" s="281" t="s">
        <v>532</v>
      </c>
      <c r="AC369" s="282">
        <v>0</v>
      </c>
      <c r="AE369" s="274" t="str">
        <f t="shared" ca="1" si="52"/>
        <v>GOIENER S.COOP</v>
      </c>
      <c r="AF369" s="283">
        <f t="shared" ca="1" si="53"/>
        <v>0</v>
      </c>
    </row>
    <row r="370" spans="24:32" ht="16.5" x14ac:dyDescent="0.3">
      <c r="X370" s="277" t="s">
        <v>615</v>
      </c>
      <c r="Y370" s="280">
        <v>0</v>
      </c>
      <c r="Z370" s="277" t="s">
        <v>691</v>
      </c>
      <c r="AA370" s="280">
        <v>0.140000000596046</v>
      </c>
      <c r="AB370" s="281" t="s">
        <v>756</v>
      </c>
      <c r="AC370" s="282">
        <v>0</v>
      </c>
      <c r="AE370" s="274" t="str">
        <f t="shared" ca="1" si="52"/>
        <v>GRUPO ENERGALICIA, S.A.</v>
      </c>
      <c r="AF370" s="283">
        <f t="shared" ca="1" si="53"/>
        <v>0</v>
      </c>
    </row>
    <row r="371" spans="24:32" ht="16.5" x14ac:dyDescent="0.3">
      <c r="X371" s="277" t="s">
        <v>757</v>
      </c>
      <c r="Y371" s="280">
        <v>2.9999999329447701E-2</v>
      </c>
      <c r="Z371" s="277" t="s">
        <v>758</v>
      </c>
      <c r="AA371" s="280">
        <v>0.30000001192092901</v>
      </c>
      <c r="AB371" s="281" t="s">
        <v>720</v>
      </c>
      <c r="AC371" s="282">
        <v>0.25</v>
      </c>
      <c r="AE371" s="274" t="str">
        <f t="shared" ca="1" si="52"/>
        <v>GRUPO IBERSOGAS ENERGÍA, S.L.</v>
      </c>
      <c r="AF371" s="283">
        <f t="shared" ca="1" si="53"/>
        <v>0.25</v>
      </c>
    </row>
    <row r="372" spans="24:32" ht="16.5" x14ac:dyDescent="0.3">
      <c r="X372" s="277" t="s">
        <v>759</v>
      </c>
      <c r="Y372" s="280">
        <v>0.37000000476837203</v>
      </c>
      <c r="Z372" s="277" t="s">
        <v>760</v>
      </c>
      <c r="AA372" s="280">
        <v>0</v>
      </c>
      <c r="AB372" s="281" t="s">
        <v>761</v>
      </c>
      <c r="AC372" s="282">
        <v>0</v>
      </c>
      <c r="AE372" s="274" t="str">
        <f t="shared" ca="1" si="52"/>
        <v>HANWHA ENERGY RETAIL SPAIN SL</v>
      </c>
      <c r="AF372" s="283">
        <f t="shared" ca="1" si="53"/>
        <v>0</v>
      </c>
    </row>
    <row r="373" spans="24:32" ht="16.5" x14ac:dyDescent="0.3">
      <c r="X373" s="277" t="s">
        <v>762</v>
      </c>
      <c r="Y373" s="280">
        <v>0.36000001430511502</v>
      </c>
      <c r="Z373" s="277" t="s">
        <v>763</v>
      </c>
      <c r="AA373" s="280">
        <v>0</v>
      </c>
      <c r="AB373" s="281" t="s">
        <v>722</v>
      </c>
      <c r="AC373" s="282">
        <v>0</v>
      </c>
      <c r="AE373" s="274" t="str">
        <f t="shared" ca="1" si="52"/>
        <v>HELIA COOP V</v>
      </c>
      <c r="AF373" s="283">
        <f t="shared" ca="1" si="53"/>
        <v>0</v>
      </c>
    </row>
    <row r="374" spans="24:32" ht="16.5" x14ac:dyDescent="0.3">
      <c r="X374" s="277" t="s">
        <v>618</v>
      </c>
      <c r="Y374" s="280">
        <v>0.33000001311302202</v>
      </c>
      <c r="Z374" s="277" t="s">
        <v>524</v>
      </c>
      <c r="AA374" s="280">
        <v>0</v>
      </c>
      <c r="AB374" s="281" t="s">
        <v>764</v>
      </c>
      <c r="AC374" s="282">
        <v>0</v>
      </c>
      <c r="AE374" s="274" t="str">
        <f t="shared" ca="1" si="52"/>
        <v>HELIOELEC ENERGÍA ELÉCTRICA, S.L.</v>
      </c>
      <c r="AF374" s="283">
        <f t="shared" ca="1" si="53"/>
        <v>0</v>
      </c>
    </row>
    <row r="375" spans="24:32" ht="16.5" x14ac:dyDescent="0.3">
      <c r="X375" s="277" t="s">
        <v>765</v>
      </c>
      <c r="Y375" s="280">
        <v>0</v>
      </c>
      <c r="Z375" s="277" t="s">
        <v>681</v>
      </c>
      <c r="AA375" s="280">
        <v>0.28999999165535001</v>
      </c>
      <c r="AB375" s="281" t="s">
        <v>661</v>
      </c>
      <c r="AC375" s="282">
        <v>0</v>
      </c>
      <c r="AE375" s="274" t="str">
        <f t="shared" ca="1" si="52"/>
        <v>HIDROELÉCTRICA DEL VALIRA, S.L.</v>
      </c>
      <c r="AF375" s="283">
        <f t="shared" ca="1" si="53"/>
        <v>0</v>
      </c>
    </row>
    <row r="376" spans="24:32" ht="16.5" x14ac:dyDescent="0.3">
      <c r="X376" s="277" t="s">
        <v>531</v>
      </c>
      <c r="Y376" s="280">
        <v>0</v>
      </c>
      <c r="Z376" s="277" t="s">
        <v>684</v>
      </c>
      <c r="AA376" s="280">
        <v>0</v>
      </c>
      <c r="AB376" s="281" t="s">
        <v>766</v>
      </c>
      <c r="AC376" s="282">
        <v>0.25</v>
      </c>
      <c r="AE376" s="274" t="str">
        <f t="shared" ca="1" si="52"/>
        <v>HIDROELÉCTRICA DEL CANTÁBRICO, S.A.</v>
      </c>
      <c r="AF376" s="283">
        <f t="shared" ca="1" si="53"/>
        <v>0.25</v>
      </c>
    </row>
    <row r="377" spans="24:32" ht="16.5" x14ac:dyDescent="0.3">
      <c r="X377" s="277" t="s">
        <v>767</v>
      </c>
      <c r="Y377" s="280">
        <v>0.38999998569488498</v>
      </c>
      <c r="Z377" s="277" t="s">
        <v>687</v>
      </c>
      <c r="AA377" s="280">
        <v>0</v>
      </c>
      <c r="AB377" s="281" t="s">
        <v>515</v>
      </c>
      <c r="AC377" s="282">
        <v>0</v>
      </c>
      <c r="AE377" s="274" t="str">
        <f t="shared" ca="1" si="52"/>
        <v>HIDROELÉCTRICA EL CARMEN ENERGÍA, S.L.</v>
      </c>
      <c r="AF377" s="283">
        <f t="shared" ca="1" si="53"/>
        <v>0</v>
      </c>
    </row>
    <row r="378" spans="24:32" ht="16.5" x14ac:dyDescent="0.3">
      <c r="X378" s="277" t="s">
        <v>768</v>
      </c>
      <c r="Y378" s="280">
        <v>0</v>
      </c>
      <c r="Z378" s="277" t="s">
        <v>690</v>
      </c>
      <c r="AA378" s="280">
        <v>0</v>
      </c>
      <c r="AB378" s="281" t="s">
        <v>769</v>
      </c>
      <c r="AC378" s="282">
        <v>0</v>
      </c>
      <c r="AE378" s="274" t="str">
        <f t="shared" ca="1" si="52"/>
        <v>HIDROELÉCTRICA LUMYMEY, S.L.</v>
      </c>
      <c r="AF378" s="283">
        <f t="shared" ca="1" si="53"/>
        <v>0</v>
      </c>
    </row>
    <row r="379" spans="24:32" ht="16.5" x14ac:dyDescent="0.3">
      <c r="X379" s="277" t="s">
        <v>623</v>
      </c>
      <c r="Y379" s="280">
        <v>0</v>
      </c>
      <c r="Z379" s="277" t="s">
        <v>693</v>
      </c>
      <c r="AA379" s="280">
        <v>0</v>
      </c>
      <c r="AB379" s="281" t="s">
        <v>770</v>
      </c>
      <c r="AC379" s="282">
        <v>0</v>
      </c>
      <c r="AE379" s="274" t="str">
        <f t="shared" ca="1" si="52"/>
        <v>HOLALUZ-CLIDOM, S.A.</v>
      </c>
      <c r="AF379" s="283">
        <f t="shared" ca="1" si="53"/>
        <v>0</v>
      </c>
    </row>
    <row r="380" spans="24:32" ht="16.5" x14ac:dyDescent="0.3">
      <c r="X380" s="277" t="s">
        <v>711</v>
      </c>
      <c r="Y380" s="280">
        <v>0.37999999523162797</v>
      </c>
      <c r="Z380" s="277" t="s">
        <v>771</v>
      </c>
      <c r="AA380" s="280">
        <v>0</v>
      </c>
      <c r="AB380" s="281" t="s">
        <v>737</v>
      </c>
      <c r="AC380" s="282">
        <v>0</v>
      </c>
      <c r="AE380" s="274" t="str">
        <f t="shared" ca="1" si="52"/>
        <v>IBERCOEN ENERGÍA, S.A.</v>
      </c>
      <c r="AF380" s="283">
        <f t="shared" ca="1" si="53"/>
        <v>0</v>
      </c>
    </row>
    <row r="381" spans="24:32" ht="16.5" x14ac:dyDescent="0.3">
      <c r="X381" s="277" t="s">
        <v>772</v>
      </c>
      <c r="Y381" s="280">
        <v>0.20000000298023199</v>
      </c>
      <c r="Z381" s="277" t="s">
        <v>694</v>
      </c>
      <c r="AA381" s="280">
        <v>0</v>
      </c>
      <c r="AB381" s="281" t="s">
        <v>561</v>
      </c>
      <c r="AC381" s="282">
        <v>0.15</v>
      </c>
      <c r="AE381" s="274" t="str">
        <f t="shared" ca="1" si="52"/>
        <v>IBERDROLA CLIENTES, S.A.U.</v>
      </c>
      <c r="AF381" s="283">
        <f t="shared" ca="1" si="53"/>
        <v>0.15</v>
      </c>
    </row>
    <row r="382" spans="24:32" ht="16.5" x14ac:dyDescent="0.3">
      <c r="X382" s="277" t="s">
        <v>625</v>
      </c>
      <c r="Y382" s="280">
        <v>0</v>
      </c>
      <c r="Z382" s="277" t="s">
        <v>705</v>
      </c>
      <c r="AA382" s="280">
        <v>0</v>
      </c>
      <c r="AB382" s="281" t="s">
        <v>730</v>
      </c>
      <c r="AC382" s="282">
        <v>0</v>
      </c>
      <c r="AE382" s="274" t="str">
        <f t="shared" ca="1" si="52"/>
        <v>IBERDROLA SERVICIOS ENERGETICOS, S.A.U.</v>
      </c>
      <c r="AF382" s="283">
        <f t="shared" ca="1" si="53"/>
        <v>0</v>
      </c>
    </row>
    <row r="383" spans="24:32" ht="16.5" x14ac:dyDescent="0.3">
      <c r="X383" s="277" t="s">
        <v>773</v>
      </c>
      <c r="Y383" s="280">
        <v>0.20000000298023199</v>
      </c>
      <c r="Z383" s="277" t="s">
        <v>708</v>
      </c>
      <c r="AA383" s="280">
        <v>0</v>
      </c>
      <c r="AB383" s="281" t="s">
        <v>669</v>
      </c>
      <c r="AC383" s="282">
        <v>0</v>
      </c>
      <c r="AE383" s="274" t="str">
        <f t="shared" ca="1" si="52"/>
        <v>IM3 ENERGÍA, S.L.</v>
      </c>
      <c r="AF383" s="283">
        <f t="shared" ca="1" si="53"/>
        <v>0</v>
      </c>
    </row>
    <row r="384" spans="24:32" ht="16.5" x14ac:dyDescent="0.3">
      <c r="X384" s="277" t="s">
        <v>583</v>
      </c>
      <c r="Y384" s="280">
        <v>0</v>
      </c>
      <c r="Z384" s="277" t="s">
        <v>774</v>
      </c>
      <c r="AA384" s="280">
        <v>0</v>
      </c>
      <c r="AB384" s="281" t="s">
        <v>598</v>
      </c>
      <c r="AC384" s="282">
        <v>0.04</v>
      </c>
      <c r="AE384" s="274" t="str">
        <f t="shared" ca="1" si="52"/>
        <v>INDEXO ENERGÍA, S.L.</v>
      </c>
      <c r="AF384" s="283">
        <f t="shared" ca="1" si="53"/>
        <v>0.04</v>
      </c>
    </row>
    <row r="385" spans="24:32" ht="16.5" x14ac:dyDescent="0.3">
      <c r="X385" s="277" t="s">
        <v>775</v>
      </c>
      <c r="Y385" s="280">
        <v>0.37999999523162797</v>
      </c>
      <c r="Z385" s="277" t="s">
        <v>613</v>
      </c>
      <c r="AA385" s="280">
        <v>0</v>
      </c>
      <c r="AB385" s="281" t="s">
        <v>734</v>
      </c>
      <c r="AC385" s="282">
        <v>0</v>
      </c>
      <c r="AE385" s="274" t="str">
        <f t="shared" ca="1" si="52"/>
        <v>INER ENERGÍA CASTILLA LA MANCHA, S.L.</v>
      </c>
      <c r="AF385" s="283">
        <f t="shared" ca="1" si="53"/>
        <v>0</v>
      </c>
    </row>
    <row r="386" spans="24:32" ht="16.5" x14ac:dyDescent="0.3">
      <c r="X386" s="277" t="s">
        <v>776</v>
      </c>
      <c r="Y386" s="280">
        <v>0</v>
      </c>
      <c r="Z386" s="277" t="s">
        <v>777</v>
      </c>
      <c r="AA386" s="280">
        <v>0</v>
      </c>
      <c r="AB386" s="281" t="s">
        <v>599</v>
      </c>
      <c r="AC386" s="282">
        <v>0</v>
      </c>
      <c r="AE386" s="274" t="str">
        <f t="shared" ca="1" si="52"/>
        <v>INICIATIVA E. NOVA, S.L.</v>
      </c>
      <c r="AF386" s="283">
        <f t="shared" ca="1" si="53"/>
        <v>0</v>
      </c>
    </row>
    <row r="387" spans="24:32" ht="16.5" x14ac:dyDescent="0.3">
      <c r="X387" s="277" t="s">
        <v>716</v>
      </c>
      <c r="Y387" s="280">
        <v>0</v>
      </c>
      <c r="Z387" s="277" t="s">
        <v>755</v>
      </c>
      <c r="AA387" s="280">
        <v>0.20999999344348899</v>
      </c>
      <c r="AB387" s="281" t="s">
        <v>747</v>
      </c>
      <c r="AC387" s="282">
        <v>0</v>
      </c>
      <c r="AE387" s="274" t="str">
        <f t="shared" ca="1" si="52"/>
        <v>INNOVA DESARROLLO Y EFICIENCIA ENERGÉTICA, S.L.</v>
      </c>
      <c r="AF387" s="283">
        <f t="shared" ca="1" si="53"/>
        <v>0</v>
      </c>
    </row>
    <row r="388" spans="24:32" ht="16.5" x14ac:dyDescent="0.3">
      <c r="X388" s="277" t="s">
        <v>587</v>
      </c>
      <c r="Y388" s="280">
        <v>0</v>
      </c>
      <c r="Z388" s="277" t="s">
        <v>615</v>
      </c>
      <c r="AA388" s="280">
        <v>0</v>
      </c>
      <c r="AB388" s="281" t="s">
        <v>778</v>
      </c>
      <c r="AC388" s="282">
        <v>0.25</v>
      </c>
      <c r="AE388" s="274" t="str">
        <f t="shared" ca="1" si="52"/>
        <v>INSIGNIA ENERGÍA, S.L.</v>
      </c>
      <c r="AF388" s="283">
        <f t="shared" ca="1" si="53"/>
        <v>0.25</v>
      </c>
    </row>
    <row r="389" spans="24:32" ht="16.5" x14ac:dyDescent="0.3">
      <c r="X389" s="277" t="s">
        <v>723</v>
      </c>
      <c r="Y389" s="280">
        <v>0.30000001192092901</v>
      </c>
      <c r="Z389" s="277" t="s">
        <v>779</v>
      </c>
      <c r="AA389" s="280">
        <v>1.9999999552965199E-2</v>
      </c>
      <c r="AB389" s="281" t="s">
        <v>736</v>
      </c>
      <c r="AC389" s="282">
        <v>0.25</v>
      </c>
      <c r="AE389" s="274" t="str">
        <f t="shared" ca="1" si="52"/>
        <v>INTEGRACION EUROPEA DE ENERGÍA SUR, S.L.</v>
      </c>
      <c r="AF389" s="283">
        <f t="shared" ca="1" si="53"/>
        <v>0.25</v>
      </c>
    </row>
    <row r="390" spans="24:32" ht="16.5" x14ac:dyDescent="0.3">
      <c r="X390" s="277" t="s">
        <v>732</v>
      </c>
      <c r="Y390" s="280">
        <v>0.20999999344348899</v>
      </c>
      <c r="Z390" s="277" t="s">
        <v>759</v>
      </c>
      <c r="AA390" s="280">
        <v>0.31000000238418601</v>
      </c>
      <c r="AB390" s="281" t="s">
        <v>668</v>
      </c>
      <c r="AC390" s="282">
        <v>0.05</v>
      </c>
      <c r="AE390" s="274" t="str">
        <f t="shared" ca="1" si="52"/>
        <v>INTEGRACIÓN EUROPEA DE ENERGÍA, S.A.U.</v>
      </c>
      <c r="AF390" s="283">
        <f t="shared" ca="1" si="53"/>
        <v>0.05</v>
      </c>
    </row>
    <row r="391" spans="24:32" ht="16.5" x14ac:dyDescent="0.3">
      <c r="X391" s="277" t="s">
        <v>780</v>
      </c>
      <c r="Y391" s="280">
        <v>0</v>
      </c>
      <c r="Z391" s="277" t="s">
        <v>757</v>
      </c>
      <c r="AA391" s="280">
        <v>5.0000000745058101E-2</v>
      </c>
      <c r="AB391" s="281" t="s">
        <v>781</v>
      </c>
      <c r="AC391" s="282">
        <v>0</v>
      </c>
      <c r="AE391" s="274" t="str">
        <f t="shared" ca="1" si="52"/>
        <v>INTELIGENCIA PARA EL AHORRO ENERGÉTICO S.L.</v>
      </c>
      <c r="AF391" s="283">
        <f t="shared" ca="1" si="53"/>
        <v>0</v>
      </c>
    </row>
    <row r="392" spans="24:32" ht="16.5" x14ac:dyDescent="0.3">
      <c r="X392" s="277" t="s">
        <v>782</v>
      </c>
      <c r="Y392" s="280">
        <v>0.40999999642372098</v>
      </c>
      <c r="Z392" s="277" t="s">
        <v>783</v>
      </c>
      <c r="AA392" s="280">
        <v>0.30000001192092901</v>
      </c>
      <c r="AB392" s="281" t="s">
        <v>680</v>
      </c>
      <c r="AC392" s="282">
        <v>0</v>
      </c>
      <c r="AE392" s="274" t="str">
        <f t="shared" ca="1" si="52"/>
        <v>KILOWATIOS VERDES, S.L.</v>
      </c>
      <c r="AF392" s="283">
        <f t="shared" ca="1" si="53"/>
        <v>0</v>
      </c>
    </row>
    <row r="393" spans="24:32" ht="16.5" x14ac:dyDescent="0.3">
      <c r="X393" s="277" t="s">
        <v>784</v>
      </c>
      <c r="Y393" s="280">
        <v>0.38999998569488498</v>
      </c>
      <c r="Z393" s="277" t="s">
        <v>704</v>
      </c>
      <c r="AA393" s="280">
        <v>0.28999999165535001</v>
      </c>
      <c r="AB393" s="281" t="s">
        <v>785</v>
      </c>
      <c r="AC393" s="282">
        <v>0</v>
      </c>
      <c r="AE393" s="274" t="str">
        <f t="shared" ca="1" si="52"/>
        <v>KIPIN ENERGY SL</v>
      </c>
      <c r="AF393" s="283">
        <f t="shared" ca="1" si="53"/>
        <v>0</v>
      </c>
    </row>
    <row r="394" spans="24:32" ht="16.5" x14ac:dyDescent="0.3">
      <c r="X394" s="277" t="s">
        <v>638</v>
      </c>
      <c r="Y394" s="280">
        <v>0.34999999403953602</v>
      </c>
      <c r="Z394" s="277" t="s">
        <v>618</v>
      </c>
      <c r="AA394" s="280">
        <v>0.18000000715255701</v>
      </c>
      <c r="AB394" s="281" t="s">
        <v>750</v>
      </c>
      <c r="AC394" s="282">
        <v>0</v>
      </c>
      <c r="AE394" s="274" t="str">
        <f t="shared" ca="1" si="52"/>
        <v>KISHOA, S.L.</v>
      </c>
      <c r="AF394" s="283">
        <f t="shared" ca="1" si="53"/>
        <v>0</v>
      </c>
    </row>
    <row r="395" spans="24:32" ht="16.5" x14ac:dyDescent="0.3">
      <c r="X395" s="277" t="s">
        <v>727</v>
      </c>
      <c r="Y395" s="280">
        <v>0.20000000298023199</v>
      </c>
      <c r="Z395" s="277" t="s">
        <v>765</v>
      </c>
      <c r="AA395" s="280">
        <v>0</v>
      </c>
      <c r="AB395" s="281" t="s">
        <v>751</v>
      </c>
      <c r="AC395" s="282">
        <v>0</v>
      </c>
      <c r="AE395" s="274" t="str">
        <f t="shared" ca="1" si="52"/>
        <v>LA CORRIENTE SOCIEDAD COOPERATIVA</v>
      </c>
      <c r="AF395" s="283">
        <f t="shared" ca="1" si="53"/>
        <v>0</v>
      </c>
    </row>
    <row r="396" spans="24:32" ht="16.5" x14ac:dyDescent="0.3">
      <c r="X396" s="286" t="s">
        <v>542</v>
      </c>
      <c r="Y396" s="280">
        <v>0.41</v>
      </c>
      <c r="Z396" s="277" t="s">
        <v>531</v>
      </c>
      <c r="AA396" s="280">
        <v>0</v>
      </c>
      <c r="AB396" s="281" t="s">
        <v>682</v>
      </c>
      <c r="AC396" s="282">
        <v>0</v>
      </c>
      <c r="AE396" s="274" t="str">
        <f t="shared" ca="1" si="52"/>
        <v>LA UNIÓN ELECTRO INDUSTRIAL, S.L.U.</v>
      </c>
      <c r="AF396" s="283">
        <f t="shared" ca="1" si="53"/>
        <v>0</v>
      </c>
    </row>
    <row r="397" spans="24:32" ht="16.5" x14ac:dyDescent="0.3">
      <c r="X397" s="286" t="s">
        <v>549</v>
      </c>
      <c r="Y397" s="280">
        <v>0.41</v>
      </c>
      <c r="Z397" s="277" t="s">
        <v>767</v>
      </c>
      <c r="AA397" s="280">
        <v>0.239999994635582</v>
      </c>
      <c r="AB397" s="281" t="s">
        <v>786</v>
      </c>
      <c r="AC397" s="282">
        <v>0.21</v>
      </c>
      <c r="AE397" s="274" t="str">
        <f t="shared" ca="1" si="52"/>
        <v>LONJAS TECNOLOGÍA, S.A.</v>
      </c>
      <c r="AF397" s="283">
        <f t="shared" ca="1" si="53"/>
        <v>0.21</v>
      </c>
    </row>
    <row r="398" spans="24:32" ht="16.5" x14ac:dyDescent="0.3">
      <c r="Z398" s="277" t="s">
        <v>787</v>
      </c>
      <c r="AA398" s="280">
        <v>0</v>
      </c>
      <c r="AB398" s="281" t="s">
        <v>752</v>
      </c>
      <c r="AC398" s="282">
        <v>0</v>
      </c>
      <c r="AE398" s="274" t="str">
        <f t="shared" ca="1" si="52"/>
        <v>LOOP ELECTRICIDAD Y GAS S.L.</v>
      </c>
      <c r="AF398" s="283">
        <f t="shared" ca="1" si="53"/>
        <v>0</v>
      </c>
    </row>
    <row r="399" spans="24:32" ht="16.5" x14ac:dyDescent="0.3">
      <c r="Z399" s="277" t="s">
        <v>623</v>
      </c>
      <c r="AA399" s="280">
        <v>0</v>
      </c>
      <c r="AB399" s="281" t="s">
        <v>788</v>
      </c>
      <c r="AC399" s="282">
        <v>0</v>
      </c>
      <c r="AE399" s="274" t="str">
        <f t="shared" ca="1" si="52"/>
        <v>LOVE ENERGY, S.L.</v>
      </c>
      <c r="AF399" s="283">
        <f t="shared" ca="1" si="53"/>
        <v>0</v>
      </c>
    </row>
    <row r="400" spans="24:32" ht="16.5" x14ac:dyDescent="0.3">
      <c r="Z400" s="277" t="s">
        <v>711</v>
      </c>
      <c r="AA400" s="280">
        <v>0</v>
      </c>
      <c r="AB400" s="281" t="s">
        <v>789</v>
      </c>
      <c r="AC400" s="282">
        <v>0</v>
      </c>
      <c r="AE400" s="274" t="str">
        <f t="shared" ca="1" si="52"/>
        <v>LUCE CAPITAL GROUP SL</v>
      </c>
      <c r="AF400" s="283">
        <f t="shared" ca="1" si="53"/>
        <v>0</v>
      </c>
    </row>
    <row r="401" spans="26:32" ht="16.5" x14ac:dyDescent="0.3">
      <c r="Z401" s="277" t="s">
        <v>772</v>
      </c>
      <c r="AA401" s="280">
        <v>0</v>
      </c>
      <c r="AB401" s="281" t="s">
        <v>754</v>
      </c>
      <c r="AC401" s="282">
        <v>0.2</v>
      </c>
      <c r="AE401" s="274" t="str">
        <f t="shared" ca="1" si="52"/>
        <v>LUX FORUM SL</v>
      </c>
      <c r="AF401" s="283">
        <f t="shared" ca="1" si="53"/>
        <v>0.2</v>
      </c>
    </row>
    <row r="402" spans="26:32" ht="16.5" x14ac:dyDescent="0.3">
      <c r="Z402" s="277" t="s">
        <v>625</v>
      </c>
      <c r="AA402" s="280">
        <v>0</v>
      </c>
      <c r="AB402" s="281" t="s">
        <v>790</v>
      </c>
      <c r="AC402" s="282">
        <v>0</v>
      </c>
      <c r="AE402" s="274" t="str">
        <f t="shared" ca="1" si="52"/>
        <v>LUZ SOLIDARIA S.L.</v>
      </c>
      <c r="AF402" s="283">
        <f t="shared" ca="1" si="53"/>
        <v>0</v>
      </c>
    </row>
    <row r="403" spans="26:32" ht="16.5" x14ac:dyDescent="0.3">
      <c r="Z403" s="277" t="s">
        <v>773</v>
      </c>
      <c r="AA403" s="280">
        <v>0</v>
      </c>
      <c r="AB403" s="281" t="s">
        <v>791</v>
      </c>
      <c r="AC403" s="282">
        <v>0</v>
      </c>
      <c r="AE403" s="274" t="str">
        <f t="shared" ca="1" si="52"/>
        <v>MASQLUZ 2020, S.L.</v>
      </c>
      <c r="AF403" s="283">
        <f t="shared" ca="1" si="53"/>
        <v>0</v>
      </c>
    </row>
    <row r="404" spans="26:32" ht="16.5" x14ac:dyDescent="0.3">
      <c r="Z404" s="277" t="s">
        <v>792</v>
      </c>
      <c r="AA404" s="280">
        <v>0</v>
      </c>
      <c r="AB404" s="281" t="s">
        <v>744</v>
      </c>
      <c r="AC404" s="282">
        <v>0</v>
      </c>
      <c r="AE404" s="274" t="str">
        <f t="shared" ca="1" si="52"/>
        <v>MEGARA ENERGÍA SOCIEDAD COOPERATIVA CYL</v>
      </c>
      <c r="AF404" s="283">
        <f t="shared" ca="1" si="53"/>
        <v>0</v>
      </c>
    </row>
    <row r="405" spans="26:32" ht="16.5" x14ac:dyDescent="0.3">
      <c r="Z405" s="277" t="s">
        <v>793</v>
      </c>
      <c r="AA405" s="280">
        <v>0</v>
      </c>
      <c r="AB405" s="281" t="s">
        <v>794</v>
      </c>
      <c r="AC405" s="282">
        <v>0</v>
      </c>
      <c r="AE405" s="274" t="str">
        <f t="shared" ca="1" si="52"/>
        <v>MENTA ENERGÍA COMERCIALIZADORA SL</v>
      </c>
      <c r="AF405" s="283">
        <f t="shared" ca="1" si="53"/>
        <v>0</v>
      </c>
    </row>
    <row r="406" spans="26:32" ht="16.5" x14ac:dyDescent="0.3">
      <c r="Z406" s="277" t="s">
        <v>583</v>
      </c>
      <c r="AA406" s="280">
        <v>0</v>
      </c>
      <c r="AB406" s="281" t="s">
        <v>745</v>
      </c>
      <c r="AC406" s="282">
        <v>0</v>
      </c>
      <c r="AE406" s="274" t="str">
        <f t="shared" ca="1" si="52"/>
        <v>MULTIENERGÍA VERDE, S.L.</v>
      </c>
      <c r="AF406" s="283">
        <f t="shared" ca="1" si="53"/>
        <v>0</v>
      </c>
    </row>
    <row r="407" spans="26:32" ht="16.5" x14ac:dyDescent="0.3">
      <c r="Z407" s="277" t="s">
        <v>795</v>
      </c>
      <c r="AA407" s="280">
        <v>0.30000001192092901</v>
      </c>
      <c r="AB407" s="281" t="s">
        <v>691</v>
      </c>
      <c r="AC407" s="282">
        <v>0</v>
      </c>
      <c r="AE407" s="274" t="str">
        <f t="shared" ca="1" si="52"/>
        <v>NABALIA ENERGÍA 2000, S.A.</v>
      </c>
      <c r="AF407" s="283">
        <f t="shared" ca="1" si="53"/>
        <v>0</v>
      </c>
    </row>
    <row r="408" spans="26:32" ht="16.5" x14ac:dyDescent="0.3">
      <c r="Z408" s="277" t="s">
        <v>776</v>
      </c>
      <c r="AA408" s="280">
        <v>0</v>
      </c>
      <c r="AB408" s="281" t="s">
        <v>758</v>
      </c>
      <c r="AC408" s="282">
        <v>0.25</v>
      </c>
      <c r="AE408" s="274" t="str">
        <f t="shared" ca="1" si="52"/>
        <v>NATURGY IBERIA, S.A.</v>
      </c>
      <c r="AF408" s="283">
        <f t="shared" ca="1" si="53"/>
        <v>0.25</v>
      </c>
    </row>
    <row r="409" spans="26:32" ht="16.5" x14ac:dyDescent="0.3">
      <c r="Z409" s="277" t="s">
        <v>716</v>
      </c>
      <c r="AA409" s="280">
        <v>0</v>
      </c>
      <c r="AB409" s="281" t="s">
        <v>760</v>
      </c>
      <c r="AC409" s="282">
        <v>0</v>
      </c>
      <c r="AE409" s="274" t="str">
        <f t="shared" ca="1" si="52"/>
        <v>NATURGY RENOVABLES, S.L.U.</v>
      </c>
      <c r="AF409" s="283">
        <f t="shared" ca="1" si="53"/>
        <v>0</v>
      </c>
    </row>
    <row r="410" spans="26:32" ht="16.5" x14ac:dyDescent="0.3">
      <c r="Z410" s="277" t="s">
        <v>587</v>
      </c>
      <c r="AA410" s="280">
        <v>0</v>
      </c>
      <c r="AB410" s="281" t="s">
        <v>796</v>
      </c>
      <c r="AC410" s="282">
        <v>0.24</v>
      </c>
      <c r="AE410" s="274" t="str">
        <f t="shared" ca="1" si="52"/>
        <v>NEOELECTRA ENERGÍA, S.L.U.</v>
      </c>
      <c r="AF410" s="283">
        <f t="shared" ca="1" si="53"/>
        <v>0.24</v>
      </c>
    </row>
    <row r="411" spans="26:32" ht="16.5" x14ac:dyDescent="0.3">
      <c r="Z411" s="277" t="s">
        <v>797</v>
      </c>
      <c r="AA411" s="280">
        <v>0</v>
      </c>
      <c r="AB411" s="281" t="s">
        <v>798</v>
      </c>
      <c r="AC411" s="282">
        <v>0</v>
      </c>
      <c r="AE411" s="274" t="str">
        <f t="shared" ca="1" si="52"/>
        <v>NEOWATIO S.L.</v>
      </c>
      <c r="AF411" s="283">
        <f t="shared" ca="1" si="53"/>
        <v>0</v>
      </c>
    </row>
    <row r="412" spans="26:32" ht="16.5" x14ac:dyDescent="0.3">
      <c r="Z412" s="277" t="s">
        <v>799</v>
      </c>
      <c r="AA412" s="280">
        <v>0</v>
      </c>
      <c r="AB412" s="281" t="s">
        <v>524</v>
      </c>
      <c r="AC412" s="282">
        <v>0</v>
      </c>
      <c r="AE412" s="274" t="str">
        <f t="shared" ca="1" si="52"/>
        <v>NEXUS ENERGÍA, S.A.</v>
      </c>
      <c r="AF412" s="283">
        <f t="shared" ca="1" si="53"/>
        <v>0</v>
      </c>
    </row>
    <row r="413" spans="26:32" ht="16.5" x14ac:dyDescent="0.3">
      <c r="Z413" s="277" t="s">
        <v>800</v>
      </c>
      <c r="AA413" s="280">
        <v>0</v>
      </c>
      <c r="AB413" s="281" t="s">
        <v>681</v>
      </c>
      <c r="AC413" s="282">
        <v>0</v>
      </c>
      <c r="AE413" s="274" t="str">
        <f t="shared" ca="1" si="52"/>
        <v>NINOBE SERVICIOS ENERGÉTICOS, S.L.</v>
      </c>
      <c r="AF413" s="283">
        <f t="shared" ca="1" si="53"/>
        <v>0</v>
      </c>
    </row>
    <row r="414" spans="26:32" ht="16.5" x14ac:dyDescent="0.3">
      <c r="Z414" s="277" t="s">
        <v>801</v>
      </c>
      <c r="AA414" s="280">
        <v>0</v>
      </c>
      <c r="AB414" s="281" t="s">
        <v>684</v>
      </c>
      <c r="AC414" s="282">
        <v>0</v>
      </c>
      <c r="AE414" s="274" t="str">
        <f t="shared" ca="1" si="52"/>
        <v>NOBE SOLUCIONES Y ENERGÍA</v>
      </c>
      <c r="AF414" s="283">
        <f t="shared" ca="1" si="53"/>
        <v>0</v>
      </c>
    </row>
    <row r="415" spans="26:32" ht="16.5" x14ac:dyDescent="0.3">
      <c r="Z415" s="277" t="s">
        <v>802</v>
      </c>
      <c r="AA415" s="280">
        <v>0</v>
      </c>
      <c r="AB415" s="281" t="s">
        <v>687</v>
      </c>
      <c r="AC415" s="282">
        <v>0</v>
      </c>
      <c r="AE415" s="274" t="str">
        <f t="shared" ref="AE415:AE467" ca="1" si="54">INDIRECT("_Com"&amp;$F$2)</f>
        <v>NOSA ENERXIA SOCIEDADE COOP GALEGA</v>
      </c>
      <c r="AF415" s="283">
        <f t="shared" ref="AF415:AF467" ca="1" si="55">INDIRECT("_Mix"&amp;$F$2)</f>
        <v>0</v>
      </c>
    </row>
    <row r="416" spans="26:32" ht="16.5" x14ac:dyDescent="0.3">
      <c r="Z416" s="277" t="s">
        <v>723</v>
      </c>
      <c r="AA416" s="280">
        <v>5.0000000745058101E-2</v>
      </c>
      <c r="AB416" s="281" t="s">
        <v>698</v>
      </c>
      <c r="AC416" s="282">
        <v>0.02</v>
      </c>
      <c r="AE416" s="274" t="str">
        <f t="shared" ca="1" si="54"/>
        <v>NUEVA COMERCIALIZADORA ESPAÑOLA, S.L.</v>
      </c>
      <c r="AF416" s="283">
        <f t="shared" ca="1" si="55"/>
        <v>0.02</v>
      </c>
    </row>
    <row r="417" spans="26:32" ht="16.5" x14ac:dyDescent="0.3">
      <c r="Z417" s="277" t="s">
        <v>784</v>
      </c>
      <c r="AA417" s="280">
        <v>0.270000010728836</v>
      </c>
      <c r="AB417" s="281" t="s">
        <v>690</v>
      </c>
      <c r="AC417" s="282">
        <v>0</v>
      </c>
      <c r="AE417" s="274" t="str">
        <f t="shared" ca="1" si="54"/>
        <v>ODF ENERGÍA LIBRE COMERCIALIZADORA, S.L.</v>
      </c>
      <c r="AF417" s="283">
        <f t="shared" ca="1" si="55"/>
        <v>0</v>
      </c>
    </row>
    <row r="418" spans="26:32" ht="16.5" x14ac:dyDescent="0.3">
      <c r="Z418" s="277" t="s">
        <v>638</v>
      </c>
      <c r="AA418" s="280">
        <v>0.28000000119209301</v>
      </c>
      <c r="AB418" s="281" t="s">
        <v>693</v>
      </c>
      <c r="AC418" s="282">
        <v>0</v>
      </c>
      <c r="AE418" s="274" t="str">
        <f t="shared" ca="1" si="54"/>
        <v>ON DEMAND FACILITIES, S.L.U.</v>
      </c>
      <c r="AF418" s="283">
        <f t="shared" ca="1" si="55"/>
        <v>0</v>
      </c>
    </row>
    <row r="419" spans="26:32" ht="16.5" x14ac:dyDescent="0.3">
      <c r="Z419" s="277" t="s">
        <v>727</v>
      </c>
      <c r="AA419" s="280">
        <v>0.20999999344348899</v>
      </c>
      <c r="AB419" s="281" t="s">
        <v>803</v>
      </c>
      <c r="AC419" s="282">
        <v>0</v>
      </c>
      <c r="AE419" s="274" t="str">
        <f t="shared" ca="1" si="54"/>
        <v>OVO ENERGY SPAIN S.L.</v>
      </c>
      <c r="AF419" s="283">
        <f t="shared" ca="1" si="55"/>
        <v>0</v>
      </c>
    </row>
    <row r="420" spans="26:32" ht="16.5" x14ac:dyDescent="0.3">
      <c r="Z420" s="277" t="s">
        <v>452</v>
      </c>
      <c r="AA420" s="280">
        <v>0</v>
      </c>
      <c r="AB420" s="281" t="s">
        <v>694</v>
      </c>
      <c r="AC420" s="282">
        <v>0</v>
      </c>
      <c r="AE420" s="274" t="str">
        <f t="shared" ca="1" si="54"/>
        <v>PEPEENERGY</v>
      </c>
      <c r="AF420" s="283">
        <f t="shared" ca="1" si="55"/>
        <v>0</v>
      </c>
    </row>
    <row r="421" spans="26:32" ht="16.5" x14ac:dyDescent="0.3">
      <c r="Z421" s="286" t="s">
        <v>542</v>
      </c>
      <c r="AA421" s="280">
        <v>0.31000000238418601</v>
      </c>
      <c r="AB421" s="281" t="s">
        <v>705</v>
      </c>
      <c r="AC421" s="282">
        <v>0.22</v>
      </c>
      <c r="AE421" s="274" t="str">
        <f t="shared" ca="1" si="54"/>
        <v>PETRO NAVARRA, S.L.</v>
      </c>
      <c r="AF421" s="283">
        <f t="shared" ca="1" si="55"/>
        <v>0.22</v>
      </c>
    </row>
    <row r="422" spans="26:32" ht="16.5" x14ac:dyDescent="0.3">
      <c r="Z422" s="286" t="s">
        <v>549</v>
      </c>
      <c r="AA422" s="280">
        <v>0.31000000238418601</v>
      </c>
      <c r="AB422" s="281" t="s">
        <v>695</v>
      </c>
      <c r="AC422" s="282">
        <v>0.24</v>
      </c>
      <c r="AE422" s="274" t="str">
        <f t="shared" ca="1" si="54"/>
        <v>PETRONIEVES ENERGÍA 1, S.L.</v>
      </c>
      <c r="AF422" s="283">
        <f t="shared" ca="1" si="55"/>
        <v>0.24</v>
      </c>
    </row>
    <row r="423" spans="26:32" ht="16.5" x14ac:dyDescent="0.3">
      <c r="AB423" s="281" t="s">
        <v>804</v>
      </c>
      <c r="AC423" s="282">
        <v>0</v>
      </c>
      <c r="AE423" s="274" t="str">
        <f t="shared" ca="1" si="54"/>
        <v>POTENZIA COMERCIALIZADORA SL</v>
      </c>
      <c r="AF423" s="283">
        <f t="shared" ca="1" si="55"/>
        <v>0</v>
      </c>
    </row>
    <row r="424" spans="26:32" ht="16.5" x14ac:dyDescent="0.3">
      <c r="AB424" s="281" t="s">
        <v>613</v>
      </c>
      <c r="AC424" s="282">
        <v>0</v>
      </c>
      <c r="AE424" s="274" t="str">
        <f t="shared" ca="1" si="54"/>
        <v>PROT ENERGÍA COMERCIALIZACIÓN, S.L.</v>
      </c>
      <c r="AF424" s="283">
        <f t="shared" ca="1" si="55"/>
        <v>0</v>
      </c>
    </row>
    <row r="425" spans="26:32" ht="20.25" customHeight="1" x14ac:dyDescent="0.3">
      <c r="AB425" s="281" t="s">
        <v>699</v>
      </c>
      <c r="AC425" s="282">
        <v>0</v>
      </c>
      <c r="AE425" s="274" t="str">
        <f t="shared" ca="1" si="54"/>
        <v>PULSAR SERVICIOS ENERGÉTICOS,</v>
      </c>
      <c r="AF425" s="283">
        <f t="shared" ca="1" si="55"/>
        <v>0</v>
      </c>
    </row>
    <row r="426" spans="26:32" ht="20.25" customHeight="1" x14ac:dyDescent="0.3">
      <c r="AB426" s="281" t="s">
        <v>805</v>
      </c>
      <c r="AC426" s="282">
        <v>0</v>
      </c>
      <c r="AE426" s="274" t="str">
        <f t="shared" ca="1" si="54"/>
        <v>RA&amp;AN ELÉCTRICA SL</v>
      </c>
      <c r="AF426" s="283">
        <f t="shared" ca="1" si="55"/>
        <v>0</v>
      </c>
    </row>
    <row r="427" spans="26:32" ht="20.25" customHeight="1" x14ac:dyDescent="0.3">
      <c r="AB427" s="281" t="s">
        <v>615</v>
      </c>
      <c r="AC427" s="282">
        <v>0</v>
      </c>
      <c r="AE427" s="274" t="str">
        <f t="shared" ca="1" si="54"/>
        <v>RENEWABLE VENTURES, S.L.</v>
      </c>
      <c r="AF427" s="283">
        <f t="shared" ca="1" si="55"/>
        <v>0</v>
      </c>
    </row>
    <row r="428" spans="26:32" ht="20.25" customHeight="1" x14ac:dyDescent="0.3">
      <c r="AB428" s="281" t="s">
        <v>779</v>
      </c>
      <c r="AC428" s="282">
        <v>0</v>
      </c>
      <c r="AE428" s="274" t="str">
        <f t="shared" ca="1" si="54"/>
        <v>REPSOL COMERCIALIZADORA DE ELECTRICIDAD Y GAS, S.L.U.</v>
      </c>
      <c r="AF428" s="283">
        <f t="shared" ca="1" si="55"/>
        <v>0</v>
      </c>
    </row>
    <row r="429" spans="26:32" ht="20.25" customHeight="1" x14ac:dyDescent="0.3">
      <c r="AB429" s="281" t="s">
        <v>757</v>
      </c>
      <c r="AC429" s="282">
        <v>0.02</v>
      </c>
      <c r="AE429" s="274" t="str">
        <f t="shared" ca="1" si="54"/>
        <v>RESPIRA ENERGÍA, S.A.</v>
      </c>
      <c r="AF429" s="283">
        <f t="shared" ca="1" si="55"/>
        <v>0.02</v>
      </c>
    </row>
    <row r="430" spans="26:32" ht="20.25" customHeight="1" x14ac:dyDescent="0.3">
      <c r="AB430" s="281" t="s">
        <v>759</v>
      </c>
      <c r="AC430" s="282">
        <v>0.01</v>
      </c>
      <c r="AE430" s="274" t="str">
        <f t="shared" ca="1" si="54"/>
        <v xml:space="preserve">RESPIRA ENERGÍA ESPAÑA, S.L. </v>
      </c>
      <c r="AF430" s="283">
        <f t="shared" ca="1" si="55"/>
        <v>0.01</v>
      </c>
    </row>
    <row r="431" spans="26:32" ht="20.25" customHeight="1" x14ac:dyDescent="0.3">
      <c r="AB431" s="281" t="s">
        <v>783</v>
      </c>
      <c r="AC431" s="282">
        <v>0.21</v>
      </c>
      <c r="AE431" s="274" t="str">
        <f t="shared" ca="1" si="54"/>
        <v>ROFEICA ENERGÍA, S.A</v>
      </c>
      <c r="AF431" s="283">
        <f t="shared" ca="1" si="55"/>
        <v>0.21</v>
      </c>
    </row>
    <row r="432" spans="26:32" ht="20.25" customHeight="1" x14ac:dyDescent="0.3">
      <c r="AB432" s="281" t="s">
        <v>704</v>
      </c>
      <c r="AC432" s="282">
        <v>0.24</v>
      </c>
      <c r="AE432" s="274" t="str">
        <f t="shared" ca="1" si="54"/>
        <v>RONDA OESTE ENERGÍA, S.L.</v>
      </c>
      <c r="AF432" s="283">
        <f t="shared" ca="1" si="55"/>
        <v>0.24</v>
      </c>
    </row>
    <row r="433" spans="28:32" ht="20.25" customHeight="1" x14ac:dyDescent="0.3">
      <c r="AB433" s="281" t="s">
        <v>618</v>
      </c>
      <c r="AC433" s="282">
        <v>0.05</v>
      </c>
      <c r="AE433" s="274" t="str">
        <f t="shared" ca="1" si="54"/>
        <v>SAMPOL INGENIERÍA Y OBRAS, S.A.</v>
      </c>
      <c r="AF433" s="283">
        <f t="shared" ca="1" si="55"/>
        <v>0.05</v>
      </c>
    </row>
    <row r="434" spans="28:32" ht="20.25" customHeight="1" x14ac:dyDescent="0.3">
      <c r="AB434" s="281" t="s">
        <v>765</v>
      </c>
      <c r="AC434" s="282">
        <v>0</v>
      </c>
      <c r="AE434" s="274" t="str">
        <f t="shared" ca="1" si="54"/>
        <v>SHELL ESPAÑA, S.A.</v>
      </c>
      <c r="AF434" s="283">
        <f t="shared" ca="1" si="55"/>
        <v>0</v>
      </c>
    </row>
    <row r="435" spans="28:32" ht="20.25" customHeight="1" x14ac:dyDescent="0.3">
      <c r="AB435" s="281" t="s">
        <v>806</v>
      </c>
      <c r="AC435" s="282">
        <v>0.24</v>
      </c>
      <c r="AE435" s="274" t="str">
        <f t="shared" ca="1" si="54"/>
        <v>SIMPLES ENERGÍA DE ESPAÑA, S.L.</v>
      </c>
      <c r="AF435" s="283">
        <f t="shared" ca="1" si="55"/>
        <v>0.24</v>
      </c>
    </row>
    <row r="436" spans="28:32" ht="20.25" customHeight="1" x14ac:dyDescent="0.3">
      <c r="AB436" s="281" t="s">
        <v>807</v>
      </c>
      <c r="AC436" s="282">
        <v>0.2</v>
      </c>
      <c r="AE436" s="274" t="str">
        <f t="shared" ca="1" si="54"/>
        <v>SISTEMAS URBANOS DE ENERGÍAS RENOVABLES SOCIEDAD LIMITADA</v>
      </c>
      <c r="AF436" s="283">
        <f t="shared" ca="1" si="55"/>
        <v>0.2</v>
      </c>
    </row>
    <row r="437" spans="28:32" ht="20.25" customHeight="1" x14ac:dyDescent="0.3">
      <c r="AB437" s="281" t="s">
        <v>808</v>
      </c>
      <c r="AC437" s="282">
        <v>0</v>
      </c>
      <c r="AE437" s="274" t="str">
        <f t="shared" ca="1" si="54"/>
        <v>SOLABRIA, S.COOP</v>
      </c>
      <c r="AF437" s="283">
        <f t="shared" ca="1" si="55"/>
        <v>0</v>
      </c>
    </row>
    <row r="438" spans="28:32" ht="20.25" customHeight="1" x14ac:dyDescent="0.3">
      <c r="AB438" s="281" t="s">
        <v>809</v>
      </c>
      <c r="AC438" s="282">
        <v>0.25</v>
      </c>
      <c r="AE438" s="274" t="str">
        <f t="shared" ca="1" si="54"/>
        <v>SOLELEC IBÉRICA, S.L.</v>
      </c>
      <c r="AF438" s="283">
        <f t="shared" ca="1" si="55"/>
        <v>0.25</v>
      </c>
    </row>
    <row r="439" spans="28:32" ht="20.25" customHeight="1" x14ac:dyDescent="0.3">
      <c r="AB439" s="281" t="s">
        <v>531</v>
      </c>
      <c r="AC439" s="282">
        <v>0</v>
      </c>
      <c r="AE439" s="274" t="str">
        <f t="shared" ca="1" si="54"/>
        <v>SOM ENERGÍA, S.C.C.L.</v>
      </c>
      <c r="AF439" s="283">
        <f t="shared" ca="1" si="55"/>
        <v>0</v>
      </c>
    </row>
    <row r="440" spans="28:32" ht="20.25" customHeight="1" x14ac:dyDescent="0.3">
      <c r="AB440" s="281" t="s">
        <v>767</v>
      </c>
      <c r="AC440" s="282">
        <v>0.23</v>
      </c>
      <c r="AE440" s="274" t="str">
        <f t="shared" ca="1" si="54"/>
        <v>STIN, S.A.</v>
      </c>
      <c r="AF440" s="283">
        <f t="shared" ca="1" si="55"/>
        <v>0.23</v>
      </c>
    </row>
    <row r="441" spans="28:32" ht="20.25" customHeight="1" x14ac:dyDescent="0.3">
      <c r="AB441" s="281" t="s">
        <v>623</v>
      </c>
      <c r="AC441" s="282">
        <v>0</v>
      </c>
      <c r="AE441" s="274" t="str">
        <f t="shared" ca="1" si="54"/>
        <v>SUMINISTROS ESPECIALES ALGINETENSES COOP. V.</v>
      </c>
      <c r="AF441" s="283">
        <f t="shared" ca="1" si="55"/>
        <v>0</v>
      </c>
    </row>
    <row r="442" spans="28:32" ht="20.25" customHeight="1" x14ac:dyDescent="0.3">
      <c r="AB442" s="281" t="s">
        <v>810</v>
      </c>
      <c r="AC442" s="282">
        <v>0</v>
      </c>
      <c r="AE442" s="274" t="str">
        <f t="shared" ca="1" si="54"/>
        <v>SUNAIR ONE CANARIAS, S.L.</v>
      </c>
      <c r="AF442" s="283">
        <f t="shared" ca="1" si="55"/>
        <v>0</v>
      </c>
    </row>
    <row r="443" spans="28:32" ht="20.25" customHeight="1" x14ac:dyDescent="0.3">
      <c r="AB443" s="281" t="s">
        <v>711</v>
      </c>
      <c r="AC443" s="282">
        <v>0</v>
      </c>
      <c r="AE443" s="274" t="str">
        <f t="shared" ca="1" si="54"/>
        <v>SUNAIR ONE ENERGY, S.L.</v>
      </c>
      <c r="AF443" s="283">
        <f t="shared" ca="1" si="55"/>
        <v>0</v>
      </c>
    </row>
    <row r="444" spans="28:32" ht="20.25" customHeight="1" x14ac:dyDescent="0.3">
      <c r="AB444" s="281" t="s">
        <v>772</v>
      </c>
      <c r="AC444" s="282">
        <v>0</v>
      </c>
      <c r="AE444" s="274" t="str">
        <f t="shared" ca="1" si="54"/>
        <v>SUNAIR ONE HOME, S.L.</v>
      </c>
      <c r="AF444" s="283">
        <f t="shared" ca="1" si="55"/>
        <v>0</v>
      </c>
    </row>
    <row r="445" spans="28:32" ht="20.25" customHeight="1" x14ac:dyDescent="0.3">
      <c r="AB445" s="281" t="s">
        <v>625</v>
      </c>
      <c r="AC445" s="282">
        <v>0</v>
      </c>
      <c r="AE445" s="274" t="str">
        <f t="shared" ca="1" si="54"/>
        <v>SYDER COMERCIALIZADORA VERDE, S.L.</v>
      </c>
      <c r="AF445" s="283">
        <f t="shared" ca="1" si="55"/>
        <v>0</v>
      </c>
    </row>
    <row r="446" spans="28:32" ht="20.25" customHeight="1" x14ac:dyDescent="0.3">
      <c r="AB446" s="281" t="s">
        <v>773</v>
      </c>
      <c r="AC446" s="282">
        <v>0</v>
      </c>
      <c r="AE446" s="274" t="str">
        <f t="shared" ca="1" si="54"/>
        <v>TELEFONICA SOLUCIONES DE INFORMATICA Y COMUNICACIONES DE ESPAÑA, S.A.U.</v>
      </c>
      <c r="AF446" s="283">
        <f t="shared" ca="1" si="55"/>
        <v>0</v>
      </c>
    </row>
    <row r="447" spans="28:32" ht="20.25" customHeight="1" x14ac:dyDescent="0.3">
      <c r="AB447" s="281" t="s">
        <v>811</v>
      </c>
      <c r="AC447" s="282">
        <v>0</v>
      </c>
      <c r="AE447" s="274" t="str">
        <f t="shared" ca="1" si="54"/>
        <v>TENSINA DE ENERGÍA Y SERVICIOS, S.L.</v>
      </c>
      <c r="AF447" s="283">
        <f t="shared" ca="1" si="55"/>
        <v>0</v>
      </c>
    </row>
    <row r="448" spans="28:32" ht="20.25" customHeight="1" x14ac:dyDescent="0.3">
      <c r="AB448" s="281" t="s">
        <v>583</v>
      </c>
      <c r="AC448" s="282">
        <v>0</v>
      </c>
      <c r="AE448" s="274" t="str">
        <f t="shared" ca="1" si="54"/>
        <v>THE YELLOW ENERGY, S.L.</v>
      </c>
      <c r="AF448" s="283">
        <f t="shared" ca="1" si="55"/>
        <v>0</v>
      </c>
    </row>
    <row r="449" spans="28:32" ht="20.25" customHeight="1" x14ac:dyDescent="0.3">
      <c r="AB449" s="281" t="s">
        <v>775</v>
      </c>
      <c r="AC449" s="282">
        <v>0.19</v>
      </c>
      <c r="AE449" s="274" t="str">
        <f t="shared" ca="1" si="54"/>
        <v>TOTAL GAS Y ELECTRICIDAD ESPAÑA S.A.U.</v>
      </c>
      <c r="AF449" s="283">
        <f t="shared" ca="1" si="55"/>
        <v>0.19</v>
      </c>
    </row>
    <row r="450" spans="28:32" ht="20.25" customHeight="1" x14ac:dyDescent="0.3">
      <c r="AB450" s="281" t="s">
        <v>776</v>
      </c>
      <c r="AC450" s="282">
        <v>0</v>
      </c>
      <c r="AE450" s="274" t="str">
        <f t="shared" ca="1" si="54"/>
        <v>TRACTAMENT I SELECCIÓ DE RESIDUS, S.A.</v>
      </c>
      <c r="AF450" s="283">
        <f t="shared" ca="1" si="55"/>
        <v>0</v>
      </c>
    </row>
    <row r="451" spans="28:32" ht="20.25" customHeight="1" x14ac:dyDescent="0.3">
      <c r="AB451" s="281" t="s">
        <v>716</v>
      </c>
      <c r="AC451" s="282">
        <v>0</v>
      </c>
      <c r="AE451" s="274" t="str">
        <f t="shared" ca="1" si="54"/>
        <v>TRADE UNIVERSAL ENERGY, S.A.</v>
      </c>
      <c r="AF451" s="283">
        <f t="shared" ca="1" si="55"/>
        <v>0</v>
      </c>
    </row>
    <row r="452" spans="28:32" ht="20.25" customHeight="1" x14ac:dyDescent="0.3">
      <c r="AB452" s="281" t="s">
        <v>812</v>
      </c>
      <c r="AC452" s="282">
        <v>0.19</v>
      </c>
      <c r="AE452" s="274" t="str">
        <f t="shared" ca="1" si="54"/>
        <v>UMEME ENERGÍA SOCIEDAD LIMITADA</v>
      </c>
      <c r="AF452" s="283">
        <f t="shared" ca="1" si="55"/>
        <v>0.19</v>
      </c>
    </row>
    <row r="453" spans="28:32" ht="20.25" customHeight="1" x14ac:dyDescent="0.3">
      <c r="AB453" s="281" t="s">
        <v>587</v>
      </c>
      <c r="AC453" s="282">
        <v>0</v>
      </c>
      <c r="AE453" s="274" t="str">
        <f t="shared" ca="1" si="54"/>
        <v>UNIELÉCTRICA ENERGÍA, S.A.</v>
      </c>
      <c r="AF453" s="283">
        <f t="shared" ca="1" si="55"/>
        <v>0</v>
      </c>
    </row>
    <row r="454" spans="28:32" ht="20.25" customHeight="1" x14ac:dyDescent="0.3">
      <c r="AB454" s="281" t="s">
        <v>813</v>
      </c>
      <c r="AC454" s="282">
        <v>0.01</v>
      </c>
      <c r="AE454" s="274" t="str">
        <f t="shared" ca="1" si="54"/>
        <v>V3J INGENIERÍA Y SERVICIOS, S.L.</v>
      </c>
      <c r="AF454" s="283">
        <f t="shared" ca="1" si="55"/>
        <v>0.01</v>
      </c>
    </row>
    <row r="455" spans="28:32" ht="20.25" customHeight="1" x14ac:dyDescent="0.3">
      <c r="AB455" s="281" t="s">
        <v>814</v>
      </c>
      <c r="AC455" s="282">
        <v>0.24</v>
      </c>
      <c r="AE455" s="274" t="str">
        <f t="shared" ca="1" si="54"/>
        <v>VILLAR MIR ENERGÍA, S.L.</v>
      </c>
      <c r="AF455" s="283">
        <f t="shared" ca="1" si="55"/>
        <v>0.24</v>
      </c>
    </row>
    <row r="456" spans="28:32" ht="20.25" customHeight="1" x14ac:dyDescent="0.3">
      <c r="AB456" s="281" t="s">
        <v>780</v>
      </c>
      <c r="AC456" s="282">
        <v>0</v>
      </c>
      <c r="AE456" s="274" t="str">
        <f t="shared" ca="1" si="54"/>
        <v>VIRTUS GLOBAL ENERGY SL</v>
      </c>
      <c r="AF456" s="283">
        <f t="shared" ca="1" si="55"/>
        <v>0</v>
      </c>
    </row>
    <row r="457" spans="28:32" ht="20.25" customHeight="1" x14ac:dyDescent="0.3">
      <c r="AB457" s="281" t="s">
        <v>815</v>
      </c>
      <c r="AC457" s="282">
        <v>0.2</v>
      </c>
      <c r="AE457" s="274" t="str">
        <f t="shared" ca="1" si="54"/>
        <v>VISALIA ENERGÍA S.L.</v>
      </c>
      <c r="AF457" s="283">
        <f t="shared" ca="1" si="55"/>
        <v>0.2</v>
      </c>
    </row>
    <row r="458" spans="28:32" ht="20.25" customHeight="1" x14ac:dyDescent="0.3">
      <c r="AB458" s="281" t="s">
        <v>816</v>
      </c>
      <c r="AC458" s="282">
        <v>0</v>
      </c>
      <c r="AE458" s="274" t="str">
        <f t="shared" ca="1" si="54"/>
        <v>VITA CAPITAL TRADING SL</v>
      </c>
      <c r="AF458" s="283">
        <f t="shared" ca="1" si="55"/>
        <v>0</v>
      </c>
    </row>
    <row r="459" spans="28:32" ht="20.25" customHeight="1" x14ac:dyDescent="0.3">
      <c r="AB459" s="281" t="s">
        <v>782</v>
      </c>
      <c r="AC459" s="282">
        <v>0</v>
      </c>
      <c r="AE459" s="274" t="str">
        <f t="shared" ca="1" si="54"/>
        <v>VIVE ENERGÍA ELÉCTRICA, S.A</v>
      </c>
      <c r="AF459" s="283">
        <f t="shared" ca="1" si="55"/>
        <v>0</v>
      </c>
    </row>
    <row r="460" spans="28:32" ht="20.25" customHeight="1" x14ac:dyDescent="0.3">
      <c r="AB460" s="281" t="s">
        <v>817</v>
      </c>
      <c r="AC460" s="282">
        <v>0</v>
      </c>
      <c r="AE460" s="274" t="str">
        <f t="shared" ca="1" si="54"/>
        <v>VIVO ENERGÍA FUTURA S.A</v>
      </c>
      <c r="AF460" s="283">
        <f t="shared" ca="1" si="55"/>
        <v>0</v>
      </c>
    </row>
    <row r="461" spans="28:32" ht="20.25" customHeight="1" x14ac:dyDescent="0.3">
      <c r="AB461" s="281" t="s">
        <v>802</v>
      </c>
      <c r="AC461" s="282">
        <v>0</v>
      </c>
      <c r="AE461" s="274" t="str">
        <f t="shared" ca="1" si="54"/>
        <v>VÓLTICO ENERGÍA, S.L.</v>
      </c>
      <c r="AF461" s="283">
        <f t="shared" ca="1" si="55"/>
        <v>0</v>
      </c>
    </row>
    <row r="462" spans="28:32" ht="20.25" customHeight="1" x14ac:dyDescent="0.3">
      <c r="AB462" s="281" t="s">
        <v>784</v>
      </c>
      <c r="AC462" s="282">
        <v>0.17</v>
      </c>
      <c r="AE462" s="274" t="str">
        <f t="shared" ca="1" si="54"/>
        <v>WATIO WHOLESALE, S.L.</v>
      </c>
      <c r="AF462" s="283">
        <f t="shared" ca="1" si="55"/>
        <v>0.17</v>
      </c>
    </row>
    <row r="463" spans="28:32" ht="20.25" customHeight="1" x14ac:dyDescent="0.3">
      <c r="AB463" s="281" t="s">
        <v>638</v>
      </c>
      <c r="AC463" s="282">
        <v>0.25</v>
      </c>
      <c r="AE463" s="274" t="str">
        <f t="shared" ca="1" si="54"/>
        <v>WATIUM, S.L.</v>
      </c>
      <c r="AF463" s="283">
        <f t="shared" ca="1" si="55"/>
        <v>0.25</v>
      </c>
    </row>
    <row r="464" spans="28:32" ht="20.25" customHeight="1" x14ac:dyDescent="0.3">
      <c r="AB464" s="281" t="s">
        <v>727</v>
      </c>
      <c r="AC464" s="282">
        <v>0.16</v>
      </c>
      <c r="AE464" s="274" t="str">
        <f t="shared" ca="1" si="54"/>
        <v>WIND TO MARKET, S.A.</v>
      </c>
      <c r="AF464" s="283">
        <f t="shared" ca="1" si="55"/>
        <v>0.16</v>
      </c>
    </row>
    <row r="465" spans="28:32" ht="20.25" customHeight="1" x14ac:dyDescent="0.3">
      <c r="AB465" s="281" t="s">
        <v>818</v>
      </c>
      <c r="AC465" s="282">
        <v>0.24</v>
      </c>
      <c r="AE465" s="274" t="str">
        <f t="shared" ca="1" si="54"/>
        <v>ZULUX ENERGÍA SL</v>
      </c>
      <c r="AF465" s="283">
        <f t="shared" ca="1" si="55"/>
        <v>0.24</v>
      </c>
    </row>
    <row r="466" spans="28:32" ht="20.25" customHeight="1" x14ac:dyDescent="0.3">
      <c r="AB466" s="291" t="s">
        <v>542</v>
      </c>
      <c r="AC466" s="292">
        <v>0.25</v>
      </c>
      <c r="AE466" s="274" t="str">
        <f t="shared" ca="1" si="54"/>
        <v>Varias comercializadoras</v>
      </c>
      <c r="AF466" s="283">
        <f t="shared" ca="1" si="55"/>
        <v>0.25</v>
      </c>
    </row>
    <row r="467" spans="28:32" ht="20.25" customHeight="1" x14ac:dyDescent="0.3">
      <c r="AB467" s="286" t="s">
        <v>549</v>
      </c>
      <c r="AC467" s="265">
        <v>0.25</v>
      </c>
      <c r="AE467" s="274" t="str">
        <f t="shared" ca="1" si="54"/>
        <v>Otras</v>
      </c>
      <c r="AF467" s="283">
        <f t="shared" ca="1" si="55"/>
        <v>0.25</v>
      </c>
    </row>
    <row r="482" spans="2:10" ht="20.25" customHeight="1" x14ac:dyDescent="0.3">
      <c r="B482" s="210" t="s">
        <v>819</v>
      </c>
      <c r="E482" s="268" t="s">
        <v>421</v>
      </c>
      <c r="J482" s="284"/>
    </row>
    <row r="483" spans="2:10" ht="20.25" customHeight="1" x14ac:dyDescent="0.3">
      <c r="C483" s="237" t="s">
        <v>422</v>
      </c>
      <c r="D483" s="237" t="s">
        <v>423</v>
      </c>
      <c r="E483" s="239" t="s">
        <v>318</v>
      </c>
      <c r="F483" s="237" t="s">
        <v>424</v>
      </c>
      <c r="G483" s="237" t="s">
        <v>425</v>
      </c>
      <c r="J483" s="284"/>
    </row>
    <row r="484" spans="2:10" ht="16.5" x14ac:dyDescent="0.3">
      <c r="C484" s="274">
        <f>'4.2_Electricidad España'!F49</f>
        <v>0</v>
      </c>
      <c r="D484" s="274">
        <f>'4.2_Electricidad España'!G49</f>
        <v>0</v>
      </c>
      <c r="E484" s="275" t="e">
        <f t="shared" ref="E484:E503" ca="1" si="56">IF(D484=$C$248,$D$248,IF(D484=$C$249,$D$249,VLOOKUP(C484,$AE$223:$AF$467,2,0)))</f>
        <v>#N/A</v>
      </c>
      <c r="F484" s="275" t="str">
        <f>IF(ISNUMBER('4.2_Electricidad España'!H49),('4.2_Electricidad España'!H49*'4.2_Electricidad España'!I49),"")</f>
        <v/>
      </c>
      <c r="G484" s="265">
        <f t="shared" ref="G484:G503" si="57">IF(OR(C484="Varias comercializadoras",C484="Otras"),1,2)</f>
        <v>2</v>
      </c>
      <c r="I484" s="284"/>
    </row>
    <row r="485" spans="2:10" ht="16.5" x14ac:dyDescent="0.3">
      <c r="C485" s="274">
        <f>'4.2_Electricidad España'!F50</f>
        <v>0</v>
      </c>
      <c r="D485" s="274">
        <f>'4.2_Electricidad España'!G50</f>
        <v>0</v>
      </c>
      <c r="E485" s="275" t="e">
        <f t="shared" ca="1" si="56"/>
        <v>#N/A</v>
      </c>
      <c r="F485" s="275" t="str">
        <f>IF(ISNUMBER('4.2_Electricidad España'!H50),('4.2_Electricidad España'!H50*'4.2_Electricidad España'!I50),"")</f>
        <v/>
      </c>
      <c r="G485" s="265">
        <f t="shared" si="57"/>
        <v>2</v>
      </c>
      <c r="I485" s="284"/>
    </row>
    <row r="486" spans="2:10" ht="16.5" x14ac:dyDescent="0.3">
      <c r="C486" s="274">
        <f>'4.2_Electricidad España'!F51</f>
        <v>0</v>
      </c>
      <c r="D486" s="274">
        <f>'4.2_Electricidad España'!G51</f>
        <v>0</v>
      </c>
      <c r="E486" s="275" t="e">
        <f t="shared" ca="1" si="56"/>
        <v>#N/A</v>
      </c>
      <c r="F486" s="275" t="str">
        <f>IF(ISNUMBER('4.2_Electricidad España'!H51),('4.2_Electricidad España'!H51*'4.2_Electricidad España'!I51),"")</f>
        <v/>
      </c>
      <c r="G486" s="265">
        <f t="shared" si="57"/>
        <v>2</v>
      </c>
      <c r="I486" s="284"/>
    </row>
    <row r="487" spans="2:10" ht="16.5" x14ac:dyDescent="0.3">
      <c r="C487" s="274">
        <f>'4.2_Electricidad España'!F52</f>
        <v>0</v>
      </c>
      <c r="D487" s="274">
        <f>'4.2_Electricidad España'!G52</f>
        <v>0</v>
      </c>
      <c r="E487" s="275" t="e">
        <f t="shared" ca="1" si="56"/>
        <v>#N/A</v>
      </c>
      <c r="F487" s="275" t="str">
        <f>IF(ISNUMBER('4.2_Electricidad España'!H52),('4.2_Electricidad España'!H52*'4.2_Electricidad España'!I52),"")</f>
        <v/>
      </c>
      <c r="G487" s="265">
        <f t="shared" si="57"/>
        <v>2</v>
      </c>
      <c r="I487" s="284"/>
    </row>
    <row r="488" spans="2:10" ht="16.5" x14ac:dyDescent="0.3">
      <c r="C488" s="274">
        <f>'4.2_Electricidad España'!F53</f>
        <v>0</v>
      </c>
      <c r="D488" s="274">
        <f>'4.2_Electricidad España'!G53</f>
        <v>0</v>
      </c>
      <c r="E488" s="275" t="e">
        <f t="shared" ca="1" si="56"/>
        <v>#N/A</v>
      </c>
      <c r="F488" s="275" t="str">
        <f>IF(ISNUMBER('4.2_Electricidad España'!H53),('4.2_Electricidad España'!H53*'4.2_Electricidad España'!I53),"")</f>
        <v/>
      </c>
      <c r="G488" s="265">
        <f t="shared" si="57"/>
        <v>2</v>
      </c>
      <c r="I488" s="284"/>
    </row>
    <row r="489" spans="2:10" ht="16.5" x14ac:dyDescent="0.3">
      <c r="C489" s="274">
        <f>'4.2_Electricidad España'!F54</f>
        <v>0</v>
      </c>
      <c r="D489" s="274">
        <f>'4.2_Electricidad España'!G54</f>
        <v>0</v>
      </c>
      <c r="E489" s="275" t="e">
        <f t="shared" ca="1" si="56"/>
        <v>#N/A</v>
      </c>
      <c r="F489" s="275" t="str">
        <f>IF(ISNUMBER('4.2_Electricidad España'!H54),('4.2_Electricidad España'!H54*'4.2_Electricidad España'!I54),"")</f>
        <v/>
      </c>
      <c r="G489" s="265">
        <f t="shared" si="57"/>
        <v>2</v>
      </c>
      <c r="I489" s="284"/>
    </row>
    <row r="490" spans="2:10" ht="16.5" x14ac:dyDescent="0.3">
      <c r="C490" s="274">
        <f>'4.2_Electricidad España'!F55</f>
        <v>0</v>
      </c>
      <c r="D490" s="274">
        <f>'4.2_Electricidad España'!G55</f>
        <v>0</v>
      </c>
      <c r="E490" s="275" t="e">
        <f t="shared" ca="1" si="56"/>
        <v>#N/A</v>
      </c>
      <c r="F490" s="275" t="str">
        <f>IF(ISNUMBER('4.2_Electricidad España'!H55),('4.2_Electricidad España'!H55*'4.2_Electricidad España'!I55),"")</f>
        <v/>
      </c>
      <c r="G490" s="265">
        <f t="shared" si="57"/>
        <v>2</v>
      </c>
      <c r="I490" s="284"/>
    </row>
    <row r="491" spans="2:10" ht="16.5" x14ac:dyDescent="0.3">
      <c r="C491" s="274">
        <f>'4.2_Electricidad España'!F56</f>
        <v>0</v>
      </c>
      <c r="D491" s="274">
        <f>'4.2_Electricidad España'!G56</f>
        <v>0</v>
      </c>
      <c r="E491" s="275" t="e">
        <f t="shared" ca="1" si="56"/>
        <v>#N/A</v>
      </c>
      <c r="F491" s="275" t="str">
        <f>IF(ISNUMBER('4.2_Electricidad España'!H56),('4.2_Electricidad España'!H56*'4.2_Electricidad España'!I56),"")</f>
        <v/>
      </c>
      <c r="G491" s="265">
        <f t="shared" si="57"/>
        <v>2</v>
      </c>
      <c r="I491" s="284"/>
    </row>
    <row r="492" spans="2:10" ht="16.5" x14ac:dyDescent="0.3">
      <c r="C492" s="274">
        <f>'4.2_Electricidad España'!F57</f>
        <v>0</v>
      </c>
      <c r="D492" s="274">
        <f>'4.2_Electricidad España'!G57</f>
        <v>0</v>
      </c>
      <c r="E492" s="275" t="e">
        <f t="shared" ca="1" si="56"/>
        <v>#N/A</v>
      </c>
      <c r="F492" s="275" t="str">
        <f>IF(ISNUMBER('4.2_Electricidad España'!H57),('4.2_Electricidad España'!H57*'4.2_Electricidad España'!I57),"")</f>
        <v/>
      </c>
      <c r="G492" s="265">
        <f t="shared" si="57"/>
        <v>2</v>
      </c>
      <c r="I492" s="284"/>
    </row>
    <row r="493" spans="2:10" ht="16.5" x14ac:dyDescent="0.3">
      <c r="C493" s="274">
        <f>'4.2_Electricidad España'!F58</f>
        <v>0</v>
      </c>
      <c r="D493" s="274">
        <f>'4.2_Electricidad España'!G58</f>
        <v>0</v>
      </c>
      <c r="E493" s="275" t="e">
        <f t="shared" ca="1" si="56"/>
        <v>#N/A</v>
      </c>
      <c r="F493" s="275" t="str">
        <f>IF(ISNUMBER('4.2_Electricidad España'!H58),('4.2_Electricidad España'!H58*'4.2_Electricidad España'!I58),"")</f>
        <v/>
      </c>
      <c r="G493" s="265">
        <f t="shared" si="57"/>
        <v>2</v>
      </c>
      <c r="I493" s="284"/>
    </row>
    <row r="494" spans="2:10" ht="16.5" x14ac:dyDescent="0.3">
      <c r="C494" s="274">
        <f>'4.2_Electricidad España'!F59</f>
        <v>0</v>
      </c>
      <c r="D494" s="274">
        <f>'4.2_Electricidad España'!G59</f>
        <v>0</v>
      </c>
      <c r="E494" s="275" t="e">
        <f t="shared" ca="1" si="56"/>
        <v>#N/A</v>
      </c>
      <c r="F494" s="275" t="str">
        <f>IF(ISNUMBER('4.2_Electricidad España'!H59),('4.2_Electricidad España'!H59*'4.2_Electricidad España'!I59),"")</f>
        <v/>
      </c>
      <c r="G494" s="265">
        <f t="shared" si="57"/>
        <v>2</v>
      </c>
    </row>
    <row r="495" spans="2:10" ht="16.5" x14ac:dyDescent="0.3">
      <c r="C495" s="274">
        <f>'4.2_Electricidad España'!F60</f>
        <v>0</v>
      </c>
      <c r="D495" s="274">
        <f>'4.2_Electricidad España'!G60</f>
        <v>0</v>
      </c>
      <c r="E495" s="275" t="e">
        <f t="shared" ca="1" si="56"/>
        <v>#N/A</v>
      </c>
      <c r="F495" s="275" t="str">
        <f>IF(ISNUMBER('4.2_Electricidad España'!H60),('4.2_Electricidad España'!H60*'4.2_Electricidad España'!I60),"")</f>
        <v/>
      </c>
      <c r="G495" s="265">
        <f t="shared" si="57"/>
        <v>2</v>
      </c>
    </row>
    <row r="496" spans="2:10" ht="16.5" x14ac:dyDescent="0.3">
      <c r="C496" s="274">
        <f>'4.2_Electricidad España'!F61</f>
        <v>0</v>
      </c>
      <c r="D496" s="274">
        <f>'4.2_Electricidad España'!G61</f>
        <v>0</v>
      </c>
      <c r="E496" s="275" t="e">
        <f t="shared" ca="1" si="56"/>
        <v>#N/A</v>
      </c>
      <c r="F496" s="275" t="str">
        <f>IF(ISNUMBER('4.2_Electricidad España'!H61),('4.2_Electricidad España'!H61*'4.2_Electricidad España'!I61),"")</f>
        <v/>
      </c>
      <c r="G496" s="265">
        <f t="shared" si="57"/>
        <v>2</v>
      </c>
    </row>
    <row r="497" spans="1:8" ht="16.5" x14ac:dyDescent="0.3">
      <c r="C497" s="274">
        <f>'4.2_Electricidad España'!F62</f>
        <v>0</v>
      </c>
      <c r="D497" s="274">
        <f>'4.2_Electricidad España'!G62</f>
        <v>0</v>
      </c>
      <c r="E497" s="275" t="e">
        <f t="shared" ca="1" si="56"/>
        <v>#N/A</v>
      </c>
      <c r="F497" s="275" t="str">
        <f>IF(ISNUMBER('4.2_Electricidad España'!H62),('4.2_Electricidad España'!H62*'4.2_Electricidad España'!I62),"")</f>
        <v/>
      </c>
      <c r="G497" s="265">
        <f t="shared" si="57"/>
        <v>2</v>
      </c>
    </row>
    <row r="498" spans="1:8" ht="16.5" x14ac:dyDescent="0.3">
      <c r="C498" s="274">
        <f>'4.2_Electricidad España'!F63</f>
        <v>0</v>
      </c>
      <c r="D498" s="274">
        <f>'4.2_Electricidad España'!G63</f>
        <v>0</v>
      </c>
      <c r="E498" s="275" t="e">
        <f t="shared" ca="1" si="56"/>
        <v>#N/A</v>
      </c>
      <c r="F498" s="275" t="str">
        <f>IF(ISNUMBER('4.2_Electricidad España'!H63),('4.2_Electricidad España'!H63*'4.2_Electricidad España'!I63),"")</f>
        <v/>
      </c>
      <c r="G498" s="265">
        <f t="shared" si="57"/>
        <v>2</v>
      </c>
    </row>
    <row r="499" spans="1:8" ht="16.5" x14ac:dyDescent="0.3">
      <c r="C499" s="274">
        <f>'4.2_Electricidad España'!F64</f>
        <v>0</v>
      </c>
      <c r="D499" s="274">
        <f>'4.2_Electricidad España'!G64</f>
        <v>0</v>
      </c>
      <c r="E499" s="275" t="e">
        <f t="shared" ca="1" si="56"/>
        <v>#N/A</v>
      </c>
      <c r="F499" s="275" t="str">
        <f>IF(ISNUMBER('4.2_Electricidad España'!H64),('4.2_Electricidad España'!H64*'4.2_Electricidad España'!I64),"")</f>
        <v/>
      </c>
      <c r="G499" s="265">
        <f t="shared" si="57"/>
        <v>2</v>
      </c>
    </row>
    <row r="500" spans="1:8" ht="16.5" x14ac:dyDescent="0.3">
      <c r="C500" s="274">
        <f>'4.2_Electricidad España'!F65</f>
        <v>0</v>
      </c>
      <c r="D500" s="274">
        <f>'4.2_Electricidad España'!G65</f>
        <v>0</v>
      </c>
      <c r="E500" s="275" t="e">
        <f t="shared" ca="1" si="56"/>
        <v>#N/A</v>
      </c>
      <c r="F500" s="275" t="str">
        <f>IF(ISNUMBER('4.2_Electricidad España'!H65),('4.2_Electricidad España'!H65*'4.2_Electricidad España'!I65),"")</f>
        <v/>
      </c>
      <c r="G500" s="265">
        <f t="shared" si="57"/>
        <v>2</v>
      </c>
    </row>
    <row r="501" spans="1:8" ht="16.5" x14ac:dyDescent="0.3">
      <c r="C501" s="274">
        <f>'4.2_Electricidad España'!F66</f>
        <v>0</v>
      </c>
      <c r="D501" s="274">
        <f>'4.2_Electricidad España'!G66</f>
        <v>0</v>
      </c>
      <c r="E501" s="275" t="e">
        <f t="shared" ca="1" si="56"/>
        <v>#N/A</v>
      </c>
      <c r="F501" s="275" t="str">
        <f>IF(ISNUMBER('4.2_Electricidad España'!H66),('4.2_Electricidad España'!H66*'4.2_Electricidad España'!I66),"")</f>
        <v/>
      </c>
      <c r="G501" s="265">
        <f t="shared" si="57"/>
        <v>2</v>
      </c>
    </row>
    <row r="502" spans="1:8" ht="16.5" x14ac:dyDescent="0.3">
      <c r="C502" s="274">
        <f>'4.2_Electricidad España'!F67</f>
        <v>0</v>
      </c>
      <c r="D502" s="274">
        <f>'4.2_Electricidad España'!G67</f>
        <v>0</v>
      </c>
      <c r="E502" s="275" t="e">
        <f t="shared" ca="1" si="56"/>
        <v>#N/A</v>
      </c>
      <c r="F502" s="275" t="str">
        <f>IF(ISNUMBER('4.2_Electricidad España'!H67),('4.2_Electricidad España'!H67*'4.2_Electricidad España'!I67),"")</f>
        <v/>
      </c>
      <c r="G502" s="265">
        <f t="shared" si="57"/>
        <v>2</v>
      </c>
    </row>
    <row r="503" spans="1:8" ht="16.5" x14ac:dyDescent="0.3">
      <c r="C503" s="274">
        <f>'4.2_Electricidad España'!F68</f>
        <v>0</v>
      </c>
      <c r="D503" s="274">
        <f>'4.2_Electricidad España'!G68</f>
        <v>0</v>
      </c>
      <c r="E503" s="275" t="e">
        <f t="shared" ca="1" si="56"/>
        <v>#N/A</v>
      </c>
      <c r="F503" s="275" t="str">
        <f>IF(ISNUMBER('4.2_Electricidad España'!H68),('4.2_Electricidad España'!H68*'4.2_Electricidad España'!I68),"")</f>
        <v/>
      </c>
      <c r="G503" s="265">
        <f t="shared" si="57"/>
        <v>2</v>
      </c>
    </row>
    <row r="504" spans="1:8" ht="16.5" x14ac:dyDescent="0.3">
      <c r="C504" s="293"/>
      <c r="D504" s="293"/>
      <c r="E504" s="294"/>
      <c r="F504" s="295">
        <f>SUM(F484:F503)</f>
        <v>0</v>
      </c>
      <c r="G504" s="224"/>
    </row>
    <row r="505" spans="1:8" ht="16.5" x14ac:dyDescent="0.3">
      <c r="C505" s="293"/>
      <c r="D505" s="293"/>
      <c r="E505" s="294"/>
      <c r="F505" s="294"/>
      <c r="G505" s="294"/>
    </row>
    <row r="506" spans="1:8" ht="16.5" x14ac:dyDescent="0.3">
      <c r="C506" s="242" t="s">
        <v>820</v>
      </c>
      <c r="E506" s="294"/>
      <c r="F506" s="294"/>
      <c r="G506" s="294"/>
    </row>
    <row r="507" spans="1:8" ht="16.5" x14ac:dyDescent="0.3">
      <c r="C507" s="296">
        <f>SUM(F245+F504)</f>
        <v>0</v>
      </c>
      <c r="E507" s="294"/>
      <c r="F507" s="294"/>
      <c r="G507" s="224"/>
    </row>
    <row r="508" spans="1:8" ht="16.5" x14ac:dyDescent="0.3">
      <c r="C508" s="293"/>
      <c r="D508" s="293"/>
      <c r="E508" s="294"/>
      <c r="F508" s="294"/>
      <c r="G508" s="224"/>
    </row>
    <row r="509" spans="1:8" ht="16.5" x14ac:dyDescent="0.3">
      <c r="A509" s="210" t="s">
        <v>821</v>
      </c>
      <c r="H509" s="284"/>
    </row>
    <row r="510" spans="1:8" ht="24" x14ac:dyDescent="0.3">
      <c r="C510" s="237" t="s">
        <v>822</v>
      </c>
      <c r="D510" s="237" t="s">
        <v>823</v>
      </c>
      <c r="E510" s="284"/>
      <c r="H510" s="284"/>
    </row>
    <row r="511" spans="1:8" ht="16.5" x14ac:dyDescent="0.3">
      <c r="C511" s="274" t="s">
        <v>824</v>
      </c>
      <c r="D511" s="274" t="s">
        <v>825</v>
      </c>
      <c r="E511" s="284"/>
      <c r="H511" s="284"/>
    </row>
    <row r="512" spans="1:8" ht="16.5" x14ac:dyDescent="0.3">
      <c r="C512" s="274" t="s">
        <v>826</v>
      </c>
      <c r="D512" s="274" t="s">
        <v>827</v>
      </c>
      <c r="E512" s="284"/>
      <c r="H512" s="284"/>
    </row>
    <row r="513" spans="1:9" ht="16.5" x14ac:dyDescent="0.3">
      <c r="C513" s="274" t="s">
        <v>828</v>
      </c>
      <c r="D513" s="274" t="s">
        <v>829</v>
      </c>
      <c r="E513" s="284"/>
      <c r="H513" s="284"/>
    </row>
    <row r="514" spans="1:9" ht="16.5" x14ac:dyDescent="0.3">
      <c r="C514" s="274" t="s">
        <v>830</v>
      </c>
      <c r="D514" s="274" t="s">
        <v>831</v>
      </c>
      <c r="E514" s="284"/>
      <c r="H514" s="284"/>
    </row>
    <row r="515" spans="1:9" ht="16.5" x14ac:dyDescent="0.3">
      <c r="C515" s="274" t="s">
        <v>832</v>
      </c>
      <c r="D515" s="274" t="s">
        <v>833</v>
      </c>
      <c r="E515" s="284"/>
      <c r="H515" s="284"/>
    </row>
    <row r="516" spans="1:9" ht="16.5" x14ac:dyDescent="0.3">
      <c r="C516" s="284"/>
      <c r="D516" s="274" t="s">
        <v>834</v>
      </c>
      <c r="E516" s="284"/>
      <c r="H516" s="284"/>
    </row>
    <row r="517" spans="1:9" ht="16.5" x14ac:dyDescent="0.3">
      <c r="C517" s="297"/>
      <c r="D517" s="284"/>
      <c r="E517" s="284"/>
      <c r="H517" s="284"/>
    </row>
    <row r="518" spans="1:9" ht="16.5" x14ac:dyDescent="0.3">
      <c r="A518" s="210" t="s">
        <v>835</v>
      </c>
      <c r="D518" s="284"/>
      <c r="E518" s="284"/>
      <c r="H518" s="284"/>
    </row>
    <row r="519" spans="1:9" ht="16.5" x14ac:dyDescent="0.3">
      <c r="A519" s="210"/>
      <c r="B519" t="s">
        <v>836</v>
      </c>
      <c r="D519" s="284"/>
      <c r="E519" s="284">
        <f>'0_Datos generales organización'!Y5</f>
        <v>0</v>
      </c>
      <c r="H519" s="284"/>
      <c r="I519" s="284"/>
    </row>
    <row r="520" spans="1:9" ht="16.5" x14ac:dyDescent="0.3">
      <c r="A520" s="210"/>
      <c r="B520" t="s">
        <v>837</v>
      </c>
      <c r="D520" s="284"/>
      <c r="E520" s="284">
        <f>'0_Datos generales organización'!Y6</f>
        <v>0</v>
      </c>
      <c r="H520" s="284"/>
      <c r="I520" s="284"/>
    </row>
    <row r="521" spans="1:9" ht="16.5" x14ac:dyDescent="0.3">
      <c r="A521" s="210"/>
      <c r="B521" s="298" t="s">
        <v>838</v>
      </c>
      <c r="D521" s="284"/>
      <c r="E521" s="299">
        <f>'0_Datos generales organización'!G3</f>
        <v>2020</v>
      </c>
      <c r="H521" s="284"/>
      <c r="I521" s="284"/>
    </row>
    <row r="522" spans="1:9" ht="16.5" x14ac:dyDescent="0.3">
      <c r="A522" s="210"/>
      <c r="B522" t="s">
        <v>839</v>
      </c>
      <c r="E522" s="300">
        <f>'6.2_Resultados España'!H19</f>
        <v>0</v>
      </c>
      <c r="I522" s="284"/>
    </row>
    <row r="523" spans="1:9" ht="16.5" x14ac:dyDescent="0.3">
      <c r="I523" s="284"/>
    </row>
    <row r="524" spans="1:9" ht="16.5" x14ac:dyDescent="0.3">
      <c r="I524" s="284"/>
    </row>
    <row r="525" spans="1:9" ht="16.5" x14ac:dyDescent="0.3">
      <c r="D525" t="s">
        <v>51</v>
      </c>
      <c r="E525" t="s">
        <v>52</v>
      </c>
      <c r="F525" t="s">
        <v>53</v>
      </c>
      <c r="G525" t="s">
        <v>840</v>
      </c>
      <c r="I525" s="284"/>
    </row>
    <row r="526" spans="1:9" ht="16.5" x14ac:dyDescent="0.3">
      <c r="C526" s="265" t="s">
        <v>838</v>
      </c>
      <c r="D526" s="203" t="str">
        <f>IF(ISNUMBER('0_Datos generales organización'!H15),'0_Datos generales organización'!H15,"")</f>
        <v/>
      </c>
      <c r="E526" s="203" t="str">
        <f>IF(ISNUMBER('0_Datos generales organización'!H17),'0_Datos generales organización'!H17,"")</f>
        <v/>
      </c>
      <c r="F526" s="203" t="str">
        <f>IF(ISNUMBER('0_Datos generales organización'!H19),'0_Datos generales organización'!H19,"")</f>
        <v/>
      </c>
      <c r="G526" s="203">
        <f>IF(ISNUMBER('0_Datos generales organización'!G3),'0_Datos generales organización'!G3,"")</f>
        <v>2020</v>
      </c>
      <c r="I526" s="284"/>
    </row>
    <row r="527" spans="1:9" ht="16.5" x14ac:dyDescent="0.3">
      <c r="C527" s="265" t="s">
        <v>841</v>
      </c>
      <c r="D527" s="301">
        <f>ROUND('0_Datos generales organización'!K30,2)</f>
        <v>0</v>
      </c>
      <c r="E527" s="301">
        <f>ROUND('0_Datos generales organización'!K31,2)</f>
        <v>0</v>
      </c>
      <c r="F527" s="301">
        <f>ROUND('0_Datos generales organización'!K32,2)</f>
        <v>0</v>
      </c>
      <c r="G527" s="301">
        <f>ROUND('0_Datos generales organización'!K28,2)</f>
        <v>0</v>
      </c>
      <c r="H527" s="302" t="s">
        <v>842</v>
      </c>
      <c r="I527" s="284"/>
    </row>
    <row r="528" spans="1:9" ht="16.5" x14ac:dyDescent="0.3">
      <c r="C528" s="265" t="s">
        <v>843</v>
      </c>
      <c r="D528" s="301">
        <f>ROUND('0_Datos generales organización'!K42,2)</f>
        <v>0</v>
      </c>
      <c r="E528" s="301">
        <f>ROUND('0_Datos generales organización'!K43,2)</f>
        <v>0</v>
      </c>
      <c r="F528" s="301">
        <f>ROUND('0_Datos generales organización'!K44,2)</f>
        <v>0</v>
      </c>
      <c r="G528" s="301">
        <f>ROUND('0_Datos generales organización'!K40,2)</f>
        <v>0</v>
      </c>
      <c r="H528" s="302" t="s">
        <v>842</v>
      </c>
      <c r="I528" s="284"/>
    </row>
    <row r="529" spans="3:9" ht="16.5" x14ac:dyDescent="0.3">
      <c r="C529" s="265" t="s">
        <v>50</v>
      </c>
      <c r="D529" s="301">
        <f>ROUND('0_Datos generales organización'!L42,2)</f>
        <v>0</v>
      </c>
      <c r="E529" s="301">
        <f>ROUND('0_Datos generales organización'!L43,2)</f>
        <v>0</v>
      </c>
      <c r="F529" s="301">
        <f>ROUND('0_Datos generales organización'!L44,2)</f>
        <v>0</v>
      </c>
      <c r="G529" s="301">
        <f>ROUND('0_Datos generales organización'!L40,2)</f>
        <v>0</v>
      </c>
      <c r="H529" s="302" t="s">
        <v>842</v>
      </c>
      <c r="I529" s="284"/>
    </row>
    <row r="530" spans="3:9" ht="16.5" x14ac:dyDescent="0.3">
      <c r="H530" s="302"/>
      <c r="I530" s="284"/>
    </row>
    <row r="531" spans="3:9" x14ac:dyDescent="0.25">
      <c r="D531" t="s">
        <v>51</v>
      </c>
      <c r="E531" t="s">
        <v>52</v>
      </c>
      <c r="F531" t="s">
        <v>53</v>
      </c>
      <c r="G531" t="s">
        <v>840</v>
      </c>
    </row>
    <row r="532" spans="3:9" x14ac:dyDescent="0.25">
      <c r="D532" s="303" t="str">
        <f>IF(ISNUMBER(D526),D526,"")</f>
        <v/>
      </c>
      <c r="E532" s="303" t="str">
        <f>IF(ISNUMBER(E526),E526,"")</f>
        <v/>
      </c>
      <c r="F532" s="303" t="str">
        <f>IF(ISNUMBER(F526),F526,"")</f>
        <v/>
      </c>
      <c r="G532" s="303">
        <f>IF(ISNUMBER(G526),G526,"")</f>
        <v>2020</v>
      </c>
    </row>
    <row r="533" spans="3:9" x14ac:dyDescent="0.25">
      <c r="C533" s="265" t="s">
        <v>844</v>
      </c>
      <c r="D533" s="304">
        <f>ROUND('0_Datos generales organización'!L15,2)</f>
        <v>0</v>
      </c>
      <c r="E533" s="304">
        <f>ROUND('0_Datos generales organización'!L17,2)</f>
        <v>0</v>
      </c>
      <c r="F533" s="304">
        <f>ROUND('0_Datos generales organización'!L19,2)</f>
        <v>0</v>
      </c>
      <c r="G533" s="304">
        <f>ROUND('6.2_Resultados España'!H19,2)</f>
        <v>0</v>
      </c>
      <c r="H533" s="302" t="s">
        <v>842</v>
      </c>
    </row>
    <row r="535" spans="3:9" x14ac:dyDescent="0.25">
      <c r="C535" t="s">
        <v>845</v>
      </c>
    </row>
    <row r="536" spans="3:9" x14ac:dyDescent="0.25">
      <c r="D536" s="265" t="s">
        <v>846</v>
      </c>
      <c r="E536" s="265" t="s">
        <v>847</v>
      </c>
    </row>
    <row r="537" spans="3:9" x14ac:dyDescent="0.25">
      <c r="D537" s="305">
        <f>'6.2_Resultados España'!$H$16</f>
        <v>0</v>
      </c>
      <c r="E537" s="305">
        <f>'6.2_Resultados España'!$H$17</f>
        <v>0</v>
      </c>
    </row>
    <row r="539" spans="3:9" x14ac:dyDescent="0.25">
      <c r="C539" t="s">
        <v>848</v>
      </c>
    </row>
    <row r="540" spans="3:9" x14ac:dyDescent="0.25">
      <c r="D540" s="265" t="s">
        <v>916</v>
      </c>
      <c r="E540" s="265" t="s">
        <v>1020</v>
      </c>
      <c r="F540" s="265" t="s">
        <v>850</v>
      </c>
      <c r="G540" s="265" t="s">
        <v>159</v>
      </c>
    </row>
    <row r="541" spans="3:9" x14ac:dyDescent="0.25">
      <c r="D541" s="306" t="e">
        <f t="shared" ref="D541:F541" si="58">D542/SUM($D$542:$G$542)</f>
        <v>#DIV/0!</v>
      </c>
      <c r="E541" s="306" t="e">
        <f t="shared" si="58"/>
        <v>#DIV/0!</v>
      </c>
      <c r="F541" s="306" t="e">
        <f t="shared" si="58"/>
        <v>#DIV/0!</v>
      </c>
      <c r="G541" s="306" t="e">
        <f>G542/SUM($D$542:$G$542)</f>
        <v>#DIV/0!</v>
      </c>
    </row>
    <row r="542" spans="3:9" x14ac:dyDescent="0.25">
      <c r="D542" s="301">
        <f>'6.2_Resultados España'!$H$26</f>
        <v>0</v>
      </c>
      <c r="E542" s="301">
        <f>'6.2_Resultados España'!$H$25</f>
        <v>0</v>
      </c>
      <c r="F542" s="301">
        <f>'6.2_Resultados España'!$H$24</f>
        <v>0</v>
      </c>
      <c r="G542" s="301">
        <f>'6.2_Resultados España'!$H$23</f>
        <v>0</v>
      </c>
    </row>
    <row r="544" spans="3:9" x14ac:dyDescent="0.25">
      <c r="D544" s="265" t="str">
        <f>D526</f>
        <v/>
      </c>
      <c r="E544" s="265" t="str">
        <f>E526</f>
        <v/>
      </c>
      <c r="F544" s="265" t="str">
        <f>F526</f>
        <v/>
      </c>
      <c r="G544" s="265">
        <f>G526</f>
        <v>2020</v>
      </c>
    </row>
    <row r="545" spans="3:9" x14ac:dyDescent="0.25">
      <c r="C545" s="265" t="s">
        <v>844</v>
      </c>
      <c r="D545" s="307">
        <f>D533</f>
        <v>0</v>
      </c>
      <c r="E545" s="307">
        <f>E533</f>
        <v>0</v>
      </c>
      <c r="F545" s="307">
        <f>F533</f>
        <v>0</v>
      </c>
      <c r="G545" s="307">
        <f>G533</f>
        <v>0</v>
      </c>
    </row>
    <row r="546" spans="3:9" x14ac:dyDescent="0.25">
      <c r="C546" s="265" t="s">
        <v>851</v>
      </c>
      <c r="D546" s="308" t="e">
        <f>ROUND((D545/D527),4)</f>
        <v>#DIV/0!</v>
      </c>
      <c r="E546" s="308" t="e">
        <f>ROUND((E545/E527),4)</f>
        <v>#DIV/0!</v>
      </c>
      <c r="F546" s="308" t="e">
        <f>ROUND((F545/F527),4)</f>
        <v>#DIV/0!</v>
      </c>
      <c r="G546" s="308" t="e">
        <f>ROUND((G545/G527),4)</f>
        <v>#DIV/0!</v>
      </c>
      <c r="H546" s="302" t="s">
        <v>852</v>
      </c>
    </row>
    <row r="547" spans="3:9" x14ac:dyDescent="0.25">
      <c r="C547" s="265" t="s">
        <v>853</v>
      </c>
      <c r="D547" s="309" t="e">
        <f>ROUND((D545/D528),4)</f>
        <v>#DIV/0!</v>
      </c>
      <c r="E547" s="309" t="e">
        <f>ROUND((E545/E528),4)</f>
        <v>#DIV/0!</v>
      </c>
      <c r="F547" s="309" t="e">
        <f>ROUND((F545/F528),4)</f>
        <v>#DIV/0!</v>
      </c>
      <c r="G547" s="309" t="e">
        <f>ROUND((G545/G528),4)</f>
        <v>#DIV/0!</v>
      </c>
      <c r="H547" s="302" t="s">
        <v>852</v>
      </c>
    </row>
    <row r="548" spans="3:9" x14ac:dyDescent="0.25">
      <c r="C548" s="265" t="s">
        <v>854</v>
      </c>
      <c r="D548" s="309" t="e">
        <f>ROUND((D545/D529),4)</f>
        <v>#DIV/0!</v>
      </c>
      <c r="E548" s="309" t="e">
        <f>ROUND((E545/E529),4)</f>
        <v>#DIV/0!</v>
      </c>
      <c r="F548" s="309" t="e">
        <f>ROUND((F545/F529),4)</f>
        <v>#DIV/0!</v>
      </c>
      <c r="G548" s="309" t="e">
        <f>ROUND((G545/G529),4)</f>
        <v>#DIV/0!</v>
      </c>
      <c r="H548" s="302" t="s">
        <v>852</v>
      </c>
    </row>
    <row r="550" spans="3:9" x14ac:dyDescent="0.25">
      <c r="C550" t="s">
        <v>855</v>
      </c>
    </row>
    <row r="551" spans="3:9" x14ac:dyDescent="0.25">
      <c r="C551" s="265" t="s">
        <v>856</v>
      </c>
      <c r="D551" s="308">
        <v>0.42880000000000001</v>
      </c>
      <c r="F551" t="str">
        <f>IF(ISNUMBER(D554),"Se cumple la condición de reducción","No se cumple la condición de reducción")</f>
        <v>No se cumple la condición de reducción</v>
      </c>
    </row>
    <row r="552" spans="3:9" x14ac:dyDescent="0.25">
      <c r="C552" s="265" t="s">
        <v>857</v>
      </c>
      <c r="D552" s="265">
        <v>0.79979999999999996</v>
      </c>
      <c r="F552" t="str">
        <f>IF(ISNUMBER(D554),"Reducción de","Incremento de")</f>
        <v>Incremento de</v>
      </c>
      <c r="H552" s="310">
        <f>IF(ISNUMBER(D553),D553,D554)</f>
        <v>0.86519999999999997</v>
      </c>
      <c r="I552" s="302" t="s">
        <v>852</v>
      </c>
    </row>
    <row r="553" spans="3:9" x14ac:dyDescent="0.25">
      <c r="C553" s="311" t="s">
        <v>858</v>
      </c>
      <c r="D553" s="312">
        <f>IF(D552-D551&gt;0,ROUND((D552-D551)/D551,4),"")</f>
        <v>0.86519999999999997</v>
      </c>
      <c r="F553" s="313">
        <f>$D$552-$D$551</f>
        <v>0.37099999999999994</v>
      </c>
      <c r="I553" s="302" t="s">
        <v>852</v>
      </c>
    </row>
    <row r="554" spans="3:9" x14ac:dyDescent="0.25">
      <c r="C554" s="314" t="s">
        <v>859</v>
      </c>
      <c r="D554" s="315" t="str">
        <f>IF(D551-D552&gt;0,ROUND((D551-D552)/D551,4),"")</f>
        <v/>
      </c>
    </row>
    <row r="558" spans="3:9" x14ac:dyDescent="0.25">
      <c r="F558" s="265" t="s">
        <v>860</v>
      </c>
    </row>
    <row r="559" spans="3:9" x14ac:dyDescent="0.25">
      <c r="F559" s="265"/>
    </row>
    <row r="561" spans="3:7" x14ac:dyDescent="0.25">
      <c r="C561" t="s">
        <v>861</v>
      </c>
    </row>
    <row r="563" spans="3:7" x14ac:dyDescent="0.25">
      <c r="C563" t="s">
        <v>862</v>
      </c>
      <c r="D563" t="s">
        <v>863</v>
      </c>
      <c r="E563" t="s">
        <v>864</v>
      </c>
    </row>
    <row r="564" spans="3:7" ht="16.5" x14ac:dyDescent="0.25">
      <c r="C564" s="316" t="str">
        <f>IF('1_Combustibles fósiles'!E18="","",'1_Combustibles fósiles'!E18)</f>
        <v/>
      </c>
      <c r="D564" s="317" t="str">
        <f>INDEX($C$564:$C$629,MATCH(0,INDEX(COUNTIF($D$563:D563,$C$564:$C$629),),))</f>
        <v/>
      </c>
      <c r="E564" s="318" t="e">
        <f>IF(D564="",D565,IF(D564=$F$559,D565,D564))</f>
        <v>#N/A</v>
      </c>
      <c r="F564" s="319" t="s">
        <v>865</v>
      </c>
      <c r="G564" s="319"/>
    </row>
    <row r="565" spans="3:7" ht="16.5" x14ac:dyDescent="0.3">
      <c r="C565" s="316" t="str">
        <f>IF('1_Combustibles fósiles'!E19="","",'1_Combustibles fósiles'!E19)</f>
        <v/>
      </c>
      <c r="D565" s="317" t="e">
        <f>INDEX($C$564:$C$629,MATCH(0,INDEX(COUNTIF($D$563:D564,$C$564:$C$629),),))</f>
        <v>#N/A</v>
      </c>
      <c r="E565" s="320" t="e">
        <f t="shared" ref="E565:E596" si="59">IF(D565="",D566,IF(D565=E564,D566,D565))</f>
        <v>#N/A</v>
      </c>
      <c r="F565" s="321" t="s">
        <v>866</v>
      </c>
      <c r="G565" s="321"/>
    </row>
    <row r="566" spans="3:7" ht="16.5" x14ac:dyDescent="0.3">
      <c r="C566" s="316" t="str">
        <f>IF('1_Combustibles fósiles'!E20="","",'1_Combustibles fósiles'!E20)</f>
        <v/>
      </c>
      <c r="D566" s="317" t="e">
        <f>INDEX($C$564:$C$629,MATCH(0,INDEX(COUNTIF($D$563:D565,$C$564:$C$629),),))</f>
        <v>#N/A</v>
      </c>
      <c r="E566" s="322" t="e">
        <f t="shared" si="59"/>
        <v>#N/A</v>
      </c>
    </row>
    <row r="567" spans="3:7" ht="16.5" x14ac:dyDescent="0.3">
      <c r="C567" s="316" t="str">
        <f>IF('1_Combustibles fósiles'!E21="","",'1_Combustibles fósiles'!E21)</f>
        <v/>
      </c>
      <c r="D567" s="317" t="e">
        <f>INDEX($C$564:$C$629,MATCH(0,INDEX(COUNTIF($D$563:D566,$C$564:$C$629),),))</f>
        <v>#N/A</v>
      </c>
      <c r="E567" s="322" t="e">
        <f t="shared" si="59"/>
        <v>#N/A</v>
      </c>
    </row>
    <row r="568" spans="3:7" ht="16.5" x14ac:dyDescent="0.3">
      <c r="C568" s="316" t="str">
        <f>IF('1_Combustibles fósiles'!E22="","",'1_Combustibles fósiles'!E22)</f>
        <v/>
      </c>
      <c r="D568" s="317" t="e">
        <f>INDEX($C$564:$C$629,MATCH(0,INDEX(COUNTIF($D$563:D567,$C$564:$C$629),),))</f>
        <v>#N/A</v>
      </c>
      <c r="E568" s="322" t="e">
        <f t="shared" si="59"/>
        <v>#N/A</v>
      </c>
    </row>
    <row r="569" spans="3:7" ht="16.5" x14ac:dyDescent="0.3">
      <c r="C569" s="316" t="str">
        <f>IF('1_Combustibles fósiles'!E23="","",'1_Combustibles fósiles'!E23)</f>
        <v/>
      </c>
      <c r="D569" s="317" t="e">
        <f>INDEX($C$564:$C$629,MATCH(0,INDEX(COUNTIF($D$563:D568,$C$564:$C$629),),))</f>
        <v>#N/A</v>
      </c>
      <c r="E569" s="322" t="e">
        <f t="shared" si="59"/>
        <v>#N/A</v>
      </c>
    </row>
    <row r="570" spans="3:7" ht="16.5" x14ac:dyDescent="0.3">
      <c r="C570" s="316" t="str">
        <f>IF('1_Combustibles fósiles'!E24="","",'1_Combustibles fósiles'!E24)</f>
        <v/>
      </c>
      <c r="D570" s="317" t="e">
        <f>INDEX($C$564:$C$629,MATCH(0,INDEX(COUNTIF($D$563:D569,$C$564:$C$629),),))</f>
        <v>#N/A</v>
      </c>
      <c r="E570" s="322" t="e">
        <f t="shared" si="59"/>
        <v>#N/A</v>
      </c>
    </row>
    <row r="571" spans="3:7" ht="16.5" x14ac:dyDescent="0.3">
      <c r="C571" s="316" t="str">
        <f>IF('1_Combustibles fósiles'!E25="","",'1_Combustibles fósiles'!E25)</f>
        <v/>
      </c>
      <c r="D571" s="317" t="e">
        <f>INDEX($C$564:$C$629,MATCH(0,INDEX(COUNTIF($D$563:D570,$C$564:$C$629),),))</f>
        <v>#N/A</v>
      </c>
      <c r="E571" s="322" t="e">
        <f t="shared" si="59"/>
        <v>#N/A</v>
      </c>
    </row>
    <row r="572" spans="3:7" ht="16.5" x14ac:dyDescent="0.3">
      <c r="C572" s="316" t="str">
        <f>IF('1_Combustibles fósiles'!E26="","",'1_Combustibles fósiles'!E26)</f>
        <v/>
      </c>
      <c r="D572" s="317" t="e">
        <f>INDEX($C$564:$C$629,MATCH(0,INDEX(COUNTIF($D$563:D571,$C$564:$C$629),),))</f>
        <v>#N/A</v>
      </c>
      <c r="E572" s="322" t="e">
        <f t="shared" si="59"/>
        <v>#N/A</v>
      </c>
    </row>
    <row r="573" spans="3:7" ht="16.5" x14ac:dyDescent="0.3">
      <c r="C573" s="316" t="str">
        <f>IF('1_Combustibles fósiles'!E27="","",'1_Combustibles fósiles'!E27)</f>
        <v/>
      </c>
      <c r="D573" s="317" t="e">
        <f>INDEX($C$564:$C$629,MATCH(0,INDEX(COUNTIF($D$563:D572,$C$564:$C$629),),))</f>
        <v>#N/A</v>
      </c>
      <c r="E573" s="322" t="e">
        <f t="shared" si="59"/>
        <v>#N/A</v>
      </c>
    </row>
    <row r="574" spans="3:7" ht="16.5" x14ac:dyDescent="0.3">
      <c r="C574" s="316" t="str">
        <f>IF('1_Combustibles fósiles'!E28="","",'1_Combustibles fósiles'!E28)</f>
        <v/>
      </c>
      <c r="D574" s="317" t="e">
        <f>INDEX($C$564:$C$629,MATCH(0,INDEX(COUNTIF($D$563:D573,$C$564:$C$629),),))</f>
        <v>#N/A</v>
      </c>
      <c r="E574" s="322" t="e">
        <f t="shared" si="59"/>
        <v>#N/A</v>
      </c>
    </row>
    <row r="575" spans="3:7" ht="16.5" x14ac:dyDescent="0.3">
      <c r="C575" s="316" t="str">
        <f>IF('1_Combustibles fósiles'!E29="","",'1_Combustibles fósiles'!E29)</f>
        <v/>
      </c>
      <c r="D575" s="317" t="e">
        <f>INDEX($C$564:$C$629,MATCH(0,INDEX(COUNTIF($D$563:D574,$C$564:$C$629),),))</f>
        <v>#N/A</v>
      </c>
      <c r="E575" s="322" t="e">
        <f t="shared" si="59"/>
        <v>#N/A</v>
      </c>
    </row>
    <row r="576" spans="3:7" ht="16.5" x14ac:dyDescent="0.3">
      <c r="C576" s="316" t="str">
        <f>IF('1_Combustibles fósiles'!E30="","",'1_Combustibles fósiles'!E30)</f>
        <v/>
      </c>
      <c r="D576" s="317" t="e">
        <f>INDEX($C$564:$C$629,MATCH(0,INDEX(COUNTIF($D$563:D575,$C$564:$C$629),),))</f>
        <v>#N/A</v>
      </c>
      <c r="E576" s="322" t="e">
        <f t="shared" si="59"/>
        <v>#N/A</v>
      </c>
    </row>
    <row r="577" spans="3:5" ht="16.5" x14ac:dyDescent="0.3">
      <c r="C577" s="316" t="str">
        <f>IF('1_Combustibles fósiles'!E31="","",'1_Combustibles fósiles'!E31)</f>
        <v/>
      </c>
      <c r="D577" s="317" t="e">
        <f>INDEX($C$564:$C$629,MATCH(0,INDEX(COUNTIF($D$563:D576,$C$564:$C$629),),))</f>
        <v>#N/A</v>
      </c>
      <c r="E577" s="322" t="e">
        <f t="shared" si="59"/>
        <v>#N/A</v>
      </c>
    </row>
    <row r="578" spans="3:5" ht="16.5" x14ac:dyDescent="0.3">
      <c r="C578" s="316" t="str">
        <f>IF('1_Combustibles fósiles'!E32="","",'1_Combustibles fósiles'!E32)</f>
        <v/>
      </c>
      <c r="D578" s="317" t="e">
        <f>INDEX($C$564:$C$629,MATCH(0,INDEX(COUNTIF($D$563:D577,$C$564:$C$629),),))</f>
        <v>#N/A</v>
      </c>
      <c r="E578" s="322" t="e">
        <f t="shared" si="59"/>
        <v>#N/A</v>
      </c>
    </row>
    <row r="579" spans="3:5" ht="16.5" x14ac:dyDescent="0.3">
      <c r="C579" s="316" t="str">
        <f>IF('1_Combustibles fósiles'!E33="","",'1_Combustibles fósiles'!E33)</f>
        <v/>
      </c>
      <c r="D579" s="317" t="e">
        <f>INDEX($C$564:$C$629,MATCH(0,INDEX(COUNTIF($D$563:D578,$C$564:$C$629),),))</f>
        <v>#N/A</v>
      </c>
      <c r="E579" s="322" t="e">
        <f t="shared" si="59"/>
        <v>#N/A</v>
      </c>
    </row>
    <row r="580" spans="3:5" ht="16.5" x14ac:dyDescent="0.3">
      <c r="C580" s="316" t="str">
        <f>IF('1_Combustibles fósiles'!E34="","",'1_Combustibles fósiles'!E34)</f>
        <v/>
      </c>
      <c r="D580" s="317" t="e">
        <f>INDEX($C$564:$C$629,MATCH(0,INDEX(COUNTIF($D$563:D579,$C$564:$C$629),),))</f>
        <v>#N/A</v>
      </c>
      <c r="E580" s="322" t="e">
        <f t="shared" si="59"/>
        <v>#N/A</v>
      </c>
    </row>
    <row r="581" spans="3:5" ht="16.5" x14ac:dyDescent="0.3">
      <c r="C581" s="316" t="str">
        <f>IF('1_Combustibles fósiles'!E35="","",'1_Combustibles fósiles'!E35)</f>
        <v/>
      </c>
      <c r="D581" s="317" t="e">
        <f>INDEX($C$564:$C$629,MATCH(0,INDEX(COUNTIF($D$563:D580,$C$564:$C$629),),))</f>
        <v>#N/A</v>
      </c>
      <c r="E581" s="322" t="e">
        <f t="shared" si="59"/>
        <v>#N/A</v>
      </c>
    </row>
    <row r="582" spans="3:5" ht="16.5" x14ac:dyDescent="0.3">
      <c r="C582" s="316" t="str">
        <f>IF('1_Combustibles fósiles'!E36="","",'1_Combustibles fósiles'!E36)</f>
        <v/>
      </c>
      <c r="D582" s="317" t="e">
        <f>INDEX($C$564:$C$629,MATCH(0,INDEX(COUNTIF($D$563:D581,$C$564:$C$629),),))</f>
        <v>#N/A</v>
      </c>
      <c r="E582" s="322" t="e">
        <f t="shared" si="59"/>
        <v>#N/A</v>
      </c>
    </row>
    <row r="583" spans="3:5" ht="16.5" x14ac:dyDescent="0.3">
      <c r="C583" s="316" t="str">
        <f>IF('1_Combustibles fósiles'!E37="","",'1_Combustibles fósiles'!E37)</f>
        <v/>
      </c>
      <c r="D583" s="317" t="e">
        <f>INDEX($C$564:$C$629,MATCH(0,INDEX(COUNTIF($D$563:D582,$C$564:$C$629),),))</f>
        <v>#N/A</v>
      </c>
      <c r="E583" s="322" t="e">
        <f t="shared" si="59"/>
        <v>#N/A</v>
      </c>
    </row>
    <row r="584" spans="3:5" ht="16.5" x14ac:dyDescent="0.3">
      <c r="C584" s="316" t="str">
        <f>IF('1_Combustibles fósiles'!E38="","",'1_Combustibles fósiles'!E38)</f>
        <v/>
      </c>
      <c r="D584" s="317" t="e">
        <f>INDEX($C$564:$C$629,MATCH(0,INDEX(COUNTIF($D$563:D583,$C$564:$C$629),),))</f>
        <v>#N/A</v>
      </c>
      <c r="E584" s="322" t="e">
        <f t="shared" si="59"/>
        <v>#N/A</v>
      </c>
    </row>
    <row r="585" spans="3:5" ht="16.5" x14ac:dyDescent="0.3">
      <c r="C585" s="316" t="str">
        <f>IF('1_Combustibles fósiles'!E39="","",'1_Combustibles fósiles'!E39)</f>
        <v/>
      </c>
      <c r="D585" s="317" t="e">
        <f>INDEX($C$564:$C$629,MATCH(0,INDEX(COUNTIF($D$563:D584,$C$564:$C$629),),))</f>
        <v>#N/A</v>
      </c>
      <c r="E585" s="322" t="e">
        <f t="shared" si="59"/>
        <v>#N/A</v>
      </c>
    </row>
    <row r="586" spans="3:5" ht="16.5" x14ac:dyDescent="0.3">
      <c r="C586" s="323" t="str">
        <f>IF('2_Fluorados'!E12="","",'2_Fluorados'!E12)</f>
        <v/>
      </c>
      <c r="D586" s="317" t="e">
        <f>INDEX($C$564:$C$629,MATCH(0,INDEX(COUNTIF($D$563:D585,$C$564:$C$629),),))</f>
        <v>#N/A</v>
      </c>
      <c r="E586" s="322" t="e">
        <f t="shared" si="59"/>
        <v>#N/A</v>
      </c>
    </row>
    <row r="587" spans="3:5" ht="16.5" x14ac:dyDescent="0.3">
      <c r="C587" s="323" t="str">
        <f>IF('2_Fluorados'!E13="","",'2_Fluorados'!E13)</f>
        <v/>
      </c>
      <c r="D587" s="317" t="e">
        <f>INDEX($C$564:$C$629,MATCH(0,INDEX(COUNTIF($D$563:D586,$C$564:$C$629),),))</f>
        <v>#N/A</v>
      </c>
      <c r="E587" s="322" t="e">
        <f t="shared" si="59"/>
        <v>#N/A</v>
      </c>
    </row>
    <row r="588" spans="3:5" ht="16.5" x14ac:dyDescent="0.3">
      <c r="C588" s="323" t="str">
        <f>IF('2_Fluorados'!E14="","",'2_Fluorados'!E14)</f>
        <v/>
      </c>
      <c r="D588" s="317" t="e">
        <f>INDEX($C$564:$C$629,MATCH(0,INDEX(COUNTIF($D$563:D587,$C$564:$C$629),),))</f>
        <v>#N/A</v>
      </c>
      <c r="E588" s="322" t="e">
        <f t="shared" si="59"/>
        <v>#N/A</v>
      </c>
    </row>
    <row r="589" spans="3:5" ht="16.5" x14ac:dyDescent="0.3">
      <c r="C589" s="323" t="str">
        <f>IF('2_Fluorados'!E15="","",'2_Fluorados'!E15)</f>
        <v/>
      </c>
      <c r="D589" s="317" t="e">
        <f>INDEX($C$564:$C$629,MATCH(0,INDEX(COUNTIF($D$563:D588,$C$564:$C$629),),))</f>
        <v>#N/A</v>
      </c>
      <c r="E589" s="322" t="e">
        <f t="shared" si="59"/>
        <v>#N/A</v>
      </c>
    </row>
    <row r="590" spans="3:5" ht="16.5" x14ac:dyDescent="0.3">
      <c r="C590" s="323" t="str">
        <f>IF('2_Fluorados'!E16="","",'2_Fluorados'!E16)</f>
        <v/>
      </c>
      <c r="D590" s="317" t="e">
        <f>INDEX($C$564:$C$629,MATCH(0,INDEX(COUNTIF($D$563:D589,$C$564:$C$629),),))</f>
        <v>#N/A</v>
      </c>
      <c r="E590" s="322" t="e">
        <f t="shared" si="59"/>
        <v>#N/A</v>
      </c>
    </row>
    <row r="591" spans="3:5" ht="16.5" x14ac:dyDescent="0.3">
      <c r="C591" s="323" t="str">
        <f>IF('2_Fluorados'!E17="","",'2_Fluorados'!E17)</f>
        <v/>
      </c>
      <c r="D591" s="317" t="e">
        <f>INDEX($C$564:$C$629,MATCH(0,INDEX(COUNTIF($D$563:D590,$C$564:$C$629),),))</f>
        <v>#N/A</v>
      </c>
      <c r="E591" s="322" t="e">
        <f t="shared" si="59"/>
        <v>#N/A</v>
      </c>
    </row>
    <row r="592" spans="3:5" ht="16.5" x14ac:dyDescent="0.3">
      <c r="C592" s="323" t="str">
        <f>IF('2_Fluorados'!E18="","",'2_Fluorados'!E18)</f>
        <v/>
      </c>
      <c r="D592" s="317" t="e">
        <f>INDEX($C$564:$C$629,MATCH(0,INDEX(COUNTIF($D$563:D591,$C$564:$C$629),),))</f>
        <v>#N/A</v>
      </c>
      <c r="E592" s="322" t="e">
        <f t="shared" si="59"/>
        <v>#N/A</v>
      </c>
    </row>
    <row r="593" spans="3:5" ht="16.5" x14ac:dyDescent="0.3">
      <c r="C593" s="323" t="str">
        <f>IF('2_Fluorados'!E19="","",'2_Fluorados'!E19)</f>
        <v/>
      </c>
      <c r="D593" s="317" t="e">
        <f>INDEX($C$564:$C$629,MATCH(0,INDEX(COUNTIF($D$563:D592,$C$564:$C$629),),))</f>
        <v>#N/A</v>
      </c>
      <c r="E593" s="322" t="e">
        <f t="shared" si="59"/>
        <v>#N/A</v>
      </c>
    </row>
    <row r="594" spans="3:5" ht="16.5" x14ac:dyDescent="0.3">
      <c r="C594" s="323" t="str">
        <f>IF('2_Fluorados'!E20="","",'2_Fluorados'!E20)</f>
        <v/>
      </c>
      <c r="D594" s="317" t="e">
        <f>INDEX($C$564:$C$629,MATCH(0,INDEX(COUNTIF($D$563:D593,$C$564:$C$629),),))</f>
        <v>#N/A</v>
      </c>
      <c r="E594" s="322" t="e">
        <f t="shared" si="59"/>
        <v>#N/A</v>
      </c>
    </row>
    <row r="595" spans="3:5" ht="16.5" x14ac:dyDescent="0.3">
      <c r="C595" s="323" t="str">
        <f>IF('2_Fluorados'!E21="","",'2_Fluorados'!E21)</f>
        <v/>
      </c>
      <c r="D595" s="317" t="e">
        <f>INDEX($C$564:$C$629,MATCH(0,INDEX(COUNTIF($D$563:D594,$C$564:$C$629),),))</f>
        <v>#N/A</v>
      </c>
      <c r="E595" s="322" t="e">
        <f t="shared" si="59"/>
        <v>#N/A</v>
      </c>
    </row>
    <row r="596" spans="3:5" ht="16.5" x14ac:dyDescent="0.3">
      <c r="C596" s="323" t="str">
        <f>IF('2_Fluorados'!E22="","",'2_Fluorados'!E22)</f>
        <v/>
      </c>
      <c r="D596" s="317" t="e">
        <f>INDEX($C$564:$C$629,MATCH(0,INDEX(COUNTIF($D$563:D595,$C$564:$C$629),),))</f>
        <v>#N/A</v>
      </c>
      <c r="E596" s="322" t="e">
        <f t="shared" si="59"/>
        <v>#N/A</v>
      </c>
    </row>
    <row r="597" spans="3:5" ht="16.5" x14ac:dyDescent="0.3">
      <c r="C597" s="323" t="str">
        <f>IF('2_Fluorados'!E23="","",'2_Fluorados'!E23)</f>
        <v/>
      </c>
      <c r="D597" s="317" t="e">
        <f>INDEX($C$564:$C$629,MATCH(0,INDEX(COUNTIF($D$563:D596,$C$564:$C$629),),))</f>
        <v>#N/A</v>
      </c>
      <c r="E597" s="322" t="e">
        <f t="shared" ref="E597:E628" si="60">IF(D597="",D598,IF(D597=E596,D598,D597))</f>
        <v>#N/A</v>
      </c>
    </row>
    <row r="598" spans="3:5" ht="16.5" x14ac:dyDescent="0.3">
      <c r="C598" s="323" t="str">
        <f>IF('2_Fluorados'!E24="","",'2_Fluorados'!E24)</f>
        <v/>
      </c>
      <c r="D598" s="317" t="e">
        <f>INDEX($C$564:$C$629,MATCH(0,INDEX(COUNTIF($D$563:D597,$C$564:$C$629),),))</f>
        <v>#N/A</v>
      </c>
      <c r="E598" s="322" t="e">
        <f t="shared" si="60"/>
        <v>#N/A</v>
      </c>
    </row>
    <row r="599" spans="3:5" ht="16.5" x14ac:dyDescent="0.3">
      <c r="C599" s="323" t="str">
        <f>IF('2_Fluorados'!E25="","",'2_Fluorados'!E25)</f>
        <v/>
      </c>
      <c r="D599" s="317" t="e">
        <f>INDEX($C$564:$C$629,MATCH(0,INDEX(COUNTIF($D$563:D598,$C$564:$C$629),),))</f>
        <v>#N/A</v>
      </c>
      <c r="E599" s="322" t="e">
        <f t="shared" si="60"/>
        <v>#N/A</v>
      </c>
    </row>
    <row r="600" spans="3:5" ht="16.5" x14ac:dyDescent="0.3">
      <c r="C600" s="323" t="str">
        <f>IF('2_Fluorados'!E26="","",'2_Fluorados'!E26)</f>
        <v/>
      </c>
      <c r="D600" s="317" t="e">
        <f>INDEX($C$564:$C$629,MATCH(0,INDEX(COUNTIF($D$563:D599,$C$564:$C$629),),))</f>
        <v>#N/A</v>
      </c>
      <c r="E600" s="322" t="e">
        <f t="shared" si="60"/>
        <v>#N/A</v>
      </c>
    </row>
    <row r="601" spans="3:5" ht="16.5" x14ac:dyDescent="0.3">
      <c r="C601" s="323" t="str">
        <f>IF('2_Fluorados'!E27="","",'2_Fluorados'!E27)</f>
        <v/>
      </c>
      <c r="D601" s="317" t="e">
        <f>INDEX($C$564:$C$629,MATCH(0,INDEX(COUNTIF($D$563:D600,$C$564:$C$629),),))</f>
        <v>#N/A</v>
      </c>
      <c r="E601" s="322" t="e">
        <f t="shared" si="60"/>
        <v>#N/A</v>
      </c>
    </row>
    <row r="602" spans="3:5" ht="16.5" x14ac:dyDescent="0.3">
      <c r="C602" s="323" t="str">
        <f>IF('2_Fluorados'!E28="","",'2_Fluorados'!E28)</f>
        <v/>
      </c>
      <c r="D602" s="317" t="e">
        <f>INDEX($C$564:$C$629,MATCH(0,INDEX(COUNTIF($D$563:D601,$C$564:$C$629),),))</f>
        <v>#N/A</v>
      </c>
      <c r="E602" s="322" t="e">
        <f t="shared" si="60"/>
        <v>#N/A</v>
      </c>
    </row>
    <row r="603" spans="3:5" ht="16.5" x14ac:dyDescent="0.3">
      <c r="C603" s="323" t="str">
        <f>IF('2_Fluorados'!E29="","",'2_Fluorados'!E29)</f>
        <v/>
      </c>
      <c r="D603" s="317" t="e">
        <f>INDEX($C$564:$C$629,MATCH(0,INDEX(COUNTIF($D$563:D602,$C$564:$C$629),),))</f>
        <v>#N/A</v>
      </c>
      <c r="E603" s="322" t="e">
        <f t="shared" si="60"/>
        <v>#N/A</v>
      </c>
    </row>
    <row r="604" spans="3:5" ht="16.5" x14ac:dyDescent="0.3">
      <c r="C604" s="323" t="str">
        <f>IF('2_Fluorados'!E30="","",'2_Fluorados'!E30)</f>
        <v/>
      </c>
      <c r="D604" s="317" t="e">
        <f>INDEX($C$564:$C$629,MATCH(0,INDEX(COUNTIF($D$563:D603,$C$564:$C$629),),))</f>
        <v>#N/A</v>
      </c>
      <c r="E604" s="322" t="e">
        <f t="shared" si="60"/>
        <v>#N/A</v>
      </c>
    </row>
    <row r="605" spans="3:5" ht="16.5" x14ac:dyDescent="0.3">
      <c r="C605" s="323" t="str">
        <f>IF('2_Fluorados'!E31="","",'2_Fluorados'!E31)</f>
        <v/>
      </c>
      <c r="D605" s="317" t="e">
        <f>INDEX($C$564:$C$629,MATCH(0,INDEX(COUNTIF($D$563:D604,$C$564:$C$629),),))</f>
        <v>#N/A</v>
      </c>
      <c r="E605" s="322" t="e">
        <f t="shared" si="60"/>
        <v>#N/A</v>
      </c>
    </row>
    <row r="606" spans="3:5" ht="16.5" x14ac:dyDescent="0.3">
      <c r="C606" s="323" t="str">
        <f>IF('2_Fluorados'!E32="","",'2_Fluorados'!E32)</f>
        <v/>
      </c>
      <c r="D606" s="317" t="e">
        <f>INDEX($C$564:$C$629,MATCH(0,INDEX(COUNTIF($D$563:D605,$C$564:$C$629),),))</f>
        <v>#N/A</v>
      </c>
      <c r="E606" s="322" t="e">
        <f t="shared" si="60"/>
        <v>#N/A</v>
      </c>
    </row>
    <row r="607" spans="3:5" ht="16.5" x14ac:dyDescent="0.3">
      <c r="C607" s="323" t="str">
        <f>IF('2_Fluorados'!E33="","",'2_Fluorados'!E33)</f>
        <v/>
      </c>
      <c r="D607" s="317" t="e">
        <f>INDEX($C$564:$C$629,MATCH(0,INDEX(COUNTIF($D$563:D606,$C$564:$C$629),),))</f>
        <v>#N/A</v>
      </c>
      <c r="E607" s="322" t="e">
        <f t="shared" si="60"/>
        <v>#N/A</v>
      </c>
    </row>
    <row r="608" spans="3:5" ht="16.5" x14ac:dyDescent="0.3">
      <c r="C608" s="324" t="str">
        <f>IF('4.2_Electricidad España'!E20="","",'4.2_Electricidad España'!E20)</f>
        <v/>
      </c>
      <c r="D608" s="317" t="e">
        <f>INDEX($C$564:$C$629,MATCH(0,INDEX(COUNTIF($D$563:D607,$C$564:$C$629),),))</f>
        <v>#N/A</v>
      </c>
      <c r="E608" s="322" t="e">
        <f t="shared" si="60"/>
        <v>#N/A</v>
      </c>
    </row>
    <row r="609" spans="3:5" ht="16.5" x14ac:dyDescent="0.3">
      <c r="C609" s="324" t="str">
        <f>IF('4.2_Electricidad España'!E21="","",'4.2_Electricidad España'!E21)</f>
        <v/>
      </c>
      <c r="D609" s="317" t="e">
        <f>INDEX($C$564:$C$629,MATCH(0,INDEX(COUNTIF($D$563:D608,$C$564:$C$629),),))</f>
        <v>#N/A</v>
      </c>
      <c r="E609" s="322" t="e">
        <f t="shared" si="60"/>
        <v>#N/A</v>
      </c>
    </row>
    <row r="610" spans="3:5" ht="16.5" x14ac:dyDescent="0.3">
      <c r="C610" s="324" t="str">
        <f>IF('4.2_Electricidad España'!E22="","",'4.2_Electricidad España'!E22)</f>
        <v/>
      </c>
      <c r="D610" s="317" t="e">
        <f>INDEX($C$564:$C$629,MATCH(0,INDEX(COUNTIF($D$563:D609,$C$564:$C$629),),))</f>
        <v>#N/A</v>
      </c>
      <c r="E610" s="322" t="e">
        <f t="shared" si="60"/>
        <v>#N/A</v>
      </c>
    </row>
    <row r="611" spans="3:5" ht="16.5" x14ac:dyDescent="0.3">
      <c r="C611" s="324" t="str">
        <f>IF('4.2_Electricidad España'!E23="","",'4.2_Electricidad España'!E23)</f>
        <v/>
      </c>
      <c r="D611" s="317" t="e">
        <f>INDEX($C$564:$C$629,MATCH(0,INDEX(COUNTIF($D$563:D610,$C$564:$C$629),),))</f>
        <v>#N/A</v>
      </c>
      <c r="E611" s="322" t="e">
        <f t="shared" si="60"/>
        <v>#N/A</v>
      </c>
    </row>
    <row r="612" spans="3:5" ht="16.5" x14ac:dyDescent="0.3">
      <c r="C612" s="324" t="str">
        <f>IF('4.2_Electricidad España'!E24="","",'4.2_Electricidad España'!E24)</f>
        <v/>
      </c>
      <c r="D612" s="317" t="e">
        <f>INDEX($C$564:$C$629,MATCH(0,INDEX(COUNTIF($D$563:D611,$C$564:$C$629),),))</f>
        <v>#N/A</v>
      </c>
      <c r="E612" s="322" t="e">
        <f t="shared" si="60"/>
        <v>#N/A</v>
      </c>
    </row>
    <row r="613" spans="3:5" ht="16.5" x14ac:dyDescent="0.3">
      <c r="C613" s="324" t="str">
        <f>IF('4.2_Electricidad España'!E25="","",'4.2_Electricidad España'!E25)</f>
        <v/>
      </c>
      <c r="D613" s="317" t="e">
        <f>INDEX($C$564:$C$629,MATCH(0,INDEX(COUNTIF($D$563:D612,$C$564:$C$629),),))</f>
        <v>#N/A</v>
      </c>
      <c r="E613" s="322" t="e">
        <f t="shared" si="60"/>
        <v>#N/A</v>
      </c>
    </row>
    <row r="614" spans="3:5" ht="16.5" x14ac:dyDescent="0.3">
      <c r="C614" s="324" t="str">
        <f>IF('4.2_Electricidad España'!E26="","",'4.2_Electricidad España'!E26)</f>
        <v/>
      </c>
      <c r="D614" s="317" t="e">
        <f>INDEX($C$564:$C$629,MATCH(0,INDEX(COUNTIF($D$563:D613,$C$564:$C$629),),))</f>
        <v>#N/A</v>
      </c>
      <c r="E614" s="322" t="e">
        <f t="shared" si="60"/>
        <v>#N/A</v>
      </c>
    </row>
    <row r="615" spans="3:5" ht="16.5" x14ac:dyDescent="0.3">
      <c r="C615" s="324" t="str">
        <f>IF('4.2_Electricidad España'!E27="","",'4.2_Electricidad España'!E27)</f>
        <v/>
      </c>
      <c r="D615" s="317" t="e">
        <f>INDEX($C$564:$C$629,MATCH(0,INDEX(COUNTIF($D$563:D614,$C$564:$C$629),),))</f>
        <v>#N/A</v>
      </c>
      <c r="E615" s="322" t="e">
        <f t="shared" si="60"/>
        <v>#N/A</v>
      </c>
    </row>
    <row r="616" spans="3:5" ht="16.5" x14ac:dyDescent="0.3">
      <c r="C616" s="324" t="str">
        <f>IF('4.2_Electricidad España'!E28="","",'4.2_Electricidad España'!E28)</f>
        <v/>
      </c>
      <c r="D616" s="317" t="e">
        <f>INDEX($C$564:$C$629,MATCH(0,INDEX(COUNTIF($D$563:D615,$C$564:$C$629),),))</f>
        <v>#N/A</v>
      </c>
      <c r="E616" s="322" t="e">
        <f t="shared" si="60"/>
        <v>#N/A</v>
      </c>
    </row>
    <row r="617" spans="3:5" ht="16.5" x14ac:dyDescent="0.3">
      <c r="C617" s="324" t="str">
        <f>IF('4.2_Electricidad España'!E29="","",'4.2_Electricidad España'!E29)</f>
        <v/>
      </c>
      <c r="D617" s="317" t="e">
        <f>INDEX($C$564:$C$629,MATCH(0,INDEX(COUNTIF($D$563:D616,$C$564:$C$629),),))</f>
        <v>#N/A</v>
      </c>
      <c r="E617" s="322" t="e">
        <f t="shared" si="60"/>
        <v>#N/A</v>
      </c>
    </row>
    <row r="618" spans="3:5" ht="16.5" x14ac:dyDescent="0.3">
      <c r="C618" s="324" t="str">
        <f>IF('4.2_Electricidad España'!E30="","",'4.2_Electricidad España'!E30)</f>
        <v/>
      </c>
      <c r="D618" s="317" t="e">
        <f>INDEX($C$564:$C$629,MATCH(0,INDEX(COUNTIF($D$563:D617,$C$564:$C$629),),))</f>
        <v>#N/A</v>
      </c>
      <c r="E618" s="322" t="e">
        <f t="shared" si="60"/>
        <v>#N/A</v>
      </c>
    </row>
    <row r="619" spans="3:5" ht="16.5" x14ac:dyDescent="0.3">
      <c r="C619" s="324" t="str">
        <f>IF('4.2_Electricidad España'!E31="","",'4.2_Electricidad España'!E31)</f>
        <v/>
      </c>
      <c r="D619" s="317" t="e">
        <f>INDEX($C$564:$C$629,MATCH(0,INDEX(COUNTIF($D$563:D618,$C$564:$C$629),),))</f>
        <v>#N/A</v>
      </c>
      <c r="E619" s="322" t="e">
        <f t="shared" si="60"/>
        <v>#N/A</v>
      </c>
    </row>
    <row r="620" spans="3:5" ht="16.5" x14ac:dyDescent="0.3">
      <c r="C620" s="324" t="str">
        <f>IF('4.2_Electricidad España'!E32="","",'4.2_Electricidad España'!E32)</f>
        <v/>
      </c>
      <c r="D620" s="317" t="e">
        <f>INDEX($C$564:$C$629,MATCH(0,INDEX(COUNTIF($D$563:D619,$C$564:$C$629),),))</f>
        <v>#N/A</v>
      </c>
      <c r="E620" s="322" t="e">
        <f t="shared" si="60"/>
        <v>#N/A</v>
      </c>
    </row>
    <row r="621" spans="3:5" ht="16.5" x14ac:dyDescent="0.3">
      <c r="C621" s="324" t="str">
        <f>IF('4.2_Electricidad España'!E33="","",'4.2_Electricidad España'!E33)</f>
        <v/>
      </c>
      <c r="D621" s="317" t="e">
        <f>INDEX($C$564:$C$629,MATCH(0,INDEX(COUNTIF($D$563:D620,$C$564:$C$629),),))</f>
        <v>#N/A</v>
      </c>
      <c r="E621" s="322" t="e">
        <f t="shared" si="60"/>
        <v>#N/A</v>
      </c>
    </row>
    <row r="622" spans="3:5" ht="16.5" x14ac:dyDescent="0.3">
      <c r="C622" s="324" t="str">
        <f>IF('4.2_Electricidad España'!E34="","",'4.2_Electricidad España'!E34)</f>
        <v/>
      </c>
      <c r="D622" s="317" t="e">
        <f>INDEX($C$564:$C$629,MATCH(0,INDEX(COUNTIF($D$563:D621,$C$564:$C$629),),))</f>
        <v>#N/A</v>
      </c>
      <c r="E622" s="322" t="e">
        <f t="shared" si="60"/>
        <v>#N/A</v>
      </c>
    </row>
    <row r="623" spans="3:5" ht="16.5" x14ac:dyDescent="0.3">
      <c r="C623" s="324" t="str">
        <f>IF('4.2_Electricidad España'!E35="","",'4.2_Electricidad España'!E35)</f>
        <v/>
      </c>
      <c r="D623" s="317" t="e">
        <f>INDEX($C$564:$C$629,MATCH(0,INDEX(COUNTIF($D$563:D622,$C$564:$C$629),),))</f>
        <v>#N/A</v>
      </c>
      <c r="E623" s="322" t="e">
        <f t="shared" si="60"/>
        <v>#N/A</v>
      </c>
    </row>
    <row r="624" spans="3:5" ht="16.5" x14ac:dyDescent="0.3">
      <c r="C624" s="324" t="str">
        <f>IF('4.2_Electricidad España'!E36="","",'4.2_Electricidad España'!E36)</f>
        <v/>
      </c>
      <c r="D624" s="317" t="e">
        <f>INDEX($C$564:$C$629,MATCH(0,INDEX(COUNTIF($D$563:D623,$C$564:$C$629),),))</f>
        <v>#N/A</v>
      </c>
      <c r="E624" s="322" t="e">
        <f t="shared" si="60"/>
        <v>#N/A</v>
      </c>
    </row>
    <row r="625" spans="3:43" ht="16.5" x14ac:dyDescent="0.3">
      <c r="C625" s="324" t="str">
        <f>IF('4.2_Electricidad España'!E37="","",'4.2_Electricidad España'!E37)</f>
        <v/>
      </c>
      <c r="D625" s="317" t="e">
        <f>INDEX($C$564:$C$629,MATCH(0,INDEX(COUNTIF($D$563:D624,$C$564:$C$629),),))</f>
        <v>#N/A</v>
      </c>
      <c r="E625" s="322" t="e">
        <f t="shared" si="60"/>
        <v>#N/A</v>
      </c>
    </row>
    <row r="626" spans="3:43" ht="16.5" x14ac:dyDescent="0.3">
      <c r="C626" s="324" t="str">
        <f>IF('4.2_Electricidad España'!E38="","",'4.2_Electricidad España'!E38)</f>
        <v/>
      </c>
      <c r="D626" s="317" t="e">
        <f>INDEX($C$564:$C$629,MATCH(0,INDEX(COUNTIF($D$563:D625,$C$564:$C$629),),))</f>
        <v>#N/A</v>
      </c>
      <c r="E626" s="322" t="e">
        <f t="shared" si="60"/>
        <v>#N/A</v>
      </c>
    </row>
    <row r="627" spans="3:43" ht="16.5" x14ac:dyDescent="0.3">
      <c r="C627" s="324" t="str">
        <f>IF('4.2_Electricidad España'!E39="","",'4.2_Electricidad España'!E39)</f>
        <v/>
      </c>
      <c r="D627" s="317" t="e">
        <f>INDEX($C$564:$C$629,MATCH(0,INDEX(COUNTIF($D$563:D626,$C$564:$C$629),),))</f>
        <v>#N/A</v>
      </c>
      <c r="E627" s="322" t="e">
        <f t="shared" si="60"/>
        <v>#N/A</v>
      </c>
    </row>
    <row r="628" spans="3:43" ht="16.5" x14ac:dyDescent="0.3">
      <c r="C628" s="324" t="str">
        <f>IF('4.2_Electricidad España'!E40="","",'4.2_Electricidad España'!E40)</f>
        <v/>
      </c>
      <c r="D628" s="317" t="e">
        <f>INDEX($C$564:$C$629,MATCH(0,INDEX(COUNTIF($D$563:D627,$C$564:$C$629),),))</f>
        <v>#N/A</v>
      </c>
      <c r="E628" s="322" t="e">
        <f t="shared" si="60"/>
        <v>#N/A</v>
      </c>
    </row>
    <row r="629" spans="3:43" ht="16.5" x14ac:dyDescent="0.3">
      <c r="C629" s="324" t="str">
        <f>IF('4.2_Electricidad España'!E41="","",'4.2_Electricidad España'!E41)</f>
        <v/>
      </c>
      <c r="D629" s="317" t="e">
        <f>INDEX($C$564:$C$629,MATCH(0,INDEX(COUNTIF($D$563:D628,$C$564:$C$629),),))</f>
        <v>#N/A</v>
      </c>
      <c r="E629" s="322" t="e">
        <f t="shared" ref="E629" si="61">IF(D629="",D630,IF(D629=E628,D630,D629))</f>
        <v>#N/A</v>
      </c>
    </row>
    <row r="634" spans="3:43" ht="68.650000000000006" customHeight="1" x14ac:dyDescent="0.25">
      <c r="C634" s="542" t="s">
        <v>867</v>
      </c>
      <c r="D634" s="541" t="s">
        <v>868</v>
      </c>
      <c r="E634" s="541"/>
      <c r="F634" s="541" t="s">
        <v>869</v>
      </c>
      <c r="G634" s="541"/>
      <c r="H634" s="541" t="s">
        <v>870</v>
      </c>
      <c r="I634" s="541"/>
      <c r="J634" s="541" t="s">
        <v>871</v>
      </c>
      <c r="K634" s="541"/>
      <c r="L634" s="325" t="s">
        <v>872</v>
      </c>
      <c r="M634" s="325" t="s">
        <v>873</v>
      </c>
      <c r="N634" s="325" t="s">
        <v>874</v>
      </c>
      <c r="O634" s="325" t="s">
        <v>875</v>
      </c>
      <c r="P634" s="541" t="s">
        <v>876</v>
      </c>
      <c r="Q634" s="541"/>
      <c r="R634" s="541"/>
      <c r="S634" s="541"/>
      <c r="T634" s="265"/>
      <c r="U634" s="541" t="s">
        <v>877</v>
      </c>
      <c r="V634" s="541"/>
      <c r="W634" s="541"/>
      <c r="X634" s="541"/>
      <c r="Y634" s="541"/>
      <c r="Z634" s="541"/>
      <c r="AA634" s="541"/>
    </row>
    <row r="635" spans="3:43" ht="24.6" customHeight="1" x14ac:dyDescent="0.3">
      <c r="C635" s="542"/>
      <c r="D635" s="542" t="s">
        <v>878</v>
      </c>
      <c r="E635" s="542" t="s">
        <v>879</v>
      </c>
      <c r="F635" s="542" t="s">
        <v>878</v>
      </c>
      <c r="G635" s="542" t="s">
        <v>879</v>
      </c>
      <c r="H635" s="542" t="s">
        <v>878</v>
      </c>
      <c r="I635" s="542" t="s">
        <v>879</v>
      </c>
      <c r="J635" s="542" t="s">
        <v>878</v>
      </c>
      <c r="K635" s="542" t="s">
        <v>879</v>
      </c>
      <c r="L635" s="541" t="s">
        <v>880</v>
      </c>
      <c r="M635" s="541" t="s">
        <v>880</v>
      </c>
      <c r="N635" s="541" t="s">
        <v>880</v>
      </c>
      <c r="O635" s="541" t="s">
        <v>881</v>
      </c>
      <c r="P635" s="541" t="s">
        <v>882</v>
      </c>
      <c r="Q635" s="541" t="s">
        <v>883</v>
      </c>
      <c r="R635" s="541" t="s">
        <v>884</v>
      </c>
      <c r="S635" s="541" t="s">
        <v>885</v>
      </c>
      <c r="T635" s="265"/>
      <c r="U635" s="326" t="s">
        <v>886</v>
      </c>
      <c r="V635" s="326" t="s">
        <v>887</v>
      </c>
      <c r="W635" s="326" t="s">
        <v>888</v>
      </c>
      <c r="X635" s="326" t="s">
        <v>889</v>
      </c>
      <c r="Y635" s="538" t="s">
        <v>890</v>
      </c>
      <c r="Z635" s="539" t="s">
        <v>891</v>
      </c>
      <c r="AA635" s="540" t="s">
        <v>892</v>
      </c>
      <c r="AD635" s="327">
        <f>F2</f>
        <v>2020</v>
      </c>
      <c r="AJ635" s="210" t="s">
        <v>893</v>
      </c>
      <c r="AM635" s="284"/>
      <c r="AN635" s="284"/>
      <c r="AQ635" s="284"/>
    </row>
    <row r="636" spans="3:43" ht="16.5" x14ac:dyDescent="0.3">
      <c r="C636" s="542"/>
      <c r="D636" s="542"/>
      <c r="E636" s="542"/>
      <c r="F636" s="542"/>
      <c r="G636" s="542"/>
      <c r="H636" s="542"/>
      <c r="I636" s="542"/>
      <c r="J636" s="542"/>
      <c r="K636" s="542"/>
      <c r="L636" s="541"/>
      <c r="M636" s="541"/>
      <c r="N636" s="541"/>
      <c r="O636" s="541"/>
      <c r="P636" s="541"/>
      <c r="Q636" s="541"/>
      <c r="R636" s="541"/>
      <c r="S636" s="541"/>
      <c r="T636" s="265"/>
      <c r="U636" s="328" t="s">
        <v>894</v>
      </c>
      <c r="V636" s="328" t="s">
        <v>894</v>
      </c>
      <c r="W636" s="328" t="s">
        <v>894</v>
      </c>
      <c r="X636" s="328" t="s">
        <v>894</v>
      </c>
      <c r="Y636" s="538"/>
      <c r="Z636" s="539"/>
      <c r="AA636" s="540"/>
      <c r="AC636" s="329"/>
      <c r="AD636" s="330"/>
      <c r="AJ636" s="210"/>
      <c r="AK636" t="s">
        <v>839</v>
      </c>
      <c r="AN636" s="331">
        <f>'6.1_Resultados Illes Balears'!H19</f>
        <v>0</v>
      </c>
      <c r="AQ636" s="284"/>
    </row>
    <row r="637" spans="3:43" ht="16.5" x14ac:dyDescent="0.3">
      <c r="C637" s="332">
        <v>2005</v>
      </c>
      <c r="D637" s="333">
        <v>445320.16634260002</v>
      </c>
      <c r="E637" s="334">
        <f t="shared" ref="E637:E652" si="62">D637*1000/86</f>
        <v>5178141.4690999994</v>
      </c>
      <c r="F637" s="335" t="str">
        <f t="shared" ref="F637:F652" si="63">IF(G637="","",G637*86/1000)</f>
        <v/>
      </c>
      <c r="G637" s="334" t="str">
        <f t="shared" ref="G637:G652" si="64">IF(I637="","",E637-I637)</f>
        <v/>
      </c>
      <c r="H637" s="335" t="str">
        <f t="shared" ref="H637:H652" si="65">IF(I637="","",I637*86/1000)</f>
        <v/>
      </c>
      <c r="I637" s="333"/>
      <c r="J637" s="336"/>
      <c r="K637" s="335" t="str">
        <f t="shared" ref="K637:K652" si="66">IF(J637="","",J637*1000/86)</f>
        <v/>
      </c>
      <c r="L637" s="337"/>
      <c r="M637" s="338" t="s">
        <v>895</v>
      </c>
      <c r="N637" s="338" t="s">
        <v>895</v>
      </c>
      <c r="O637" s="339" t="s">
        <v>895</v>
      </c>
      <c r="P637" s="337">
        <v>5045.3379768000004</v>
      </c>
      <c r="Q637" s="340">
        <v>17159.002995751998</v>
      </c>
      <c r="R637" s="340">
        <v>13102.828203487999</v>
      </c>
      <c r="S637" s="340">
        <v>1280.9457491200901</v>
      </c>
      <c r="T637" s="332">
        <v>2005</v>
      </c>
      <c r="U637" s="341">
        <f t="shared" ref="U637:U642" si="67">P637/(D637/86)</f>
        <v>0.97435305831397423</v>
      </c>
      <c r="V637" s="341" t="str">
        <f t="shared" ref="V637:V652" si="68">IF(I637="","",(P637+(J637*O637/86)*N637)/(F637/86))</f>
        <v/>
      </c>
      <c r="W637" s="341" t="str">
        <f t="shared" ref="W637:W652" si="69">IF(I637="","",(G637*V637+I637*X637)/E637)</f>
        <v/>
      </c>
      <c r="X637" s="341">
        <v>0</v>
      </c>
      <c r="Y637" s="342">
        <f t="shared" ref="Y637:Y652" si="70">Q637/(D637/86)</f>
        <v>3.3137377760237907</v>
      </c>
      <c r="Z637" s="343">
        <f t="shared" ref="Z637:Z652" si="71">R637/(D637/86)</f>
        <v>2.5304113998579822</v>
      </c>
      <c r="AA637" s="344">
        <f t="shared" ref="AA637:AA652" si="72">S637/(D637/86)</f>
        <v>0.24737557997671472</v>
      </c>
      <c r="AC637" s="329" t="s">
        <v>896</v>
      </c>
      <c r="AD637" s="329">
        <f>VLOOKUP(AD635,_MixIB,5,FALSE())</f>
        <v>0</v>
      </c>
      <c r="AJ637" s="210"/>
      <c r="AM637" s="284"/>
      <c r="AN637" s="284"/>
      <c r="AQ637" s="284"/>
    </row>
    <row r="638" spans="3:43" ht="16.5" x14ac:dyDescent="0.3">
      <c r="C638" s="332">
        <v>2006</v>
      </c>
      <c r="D638" s="333">
        <v>460967.981058</v>
      </c>
      <c r="E638" s="334">
        <f t="shared" si="62"/>
        <v>5360092.8030000003</v>
      </c>
      <c r="F638" s="335" t="str">
        <f t="shared" si="63"/>
        <v/>
      </c>
      <c r="G638" s="334" t="str">
        <f t="shared" si="64"/>
        <v/>
      </c>
      <c r="H638" s="335" t="str">
        <f t="shared" si="65"/>
        <v/>
      </c>
      <c r="I638" s="333"/>
      <c r="J638" s="336"/>
      <c r="K638" s="335" t="str">
        <f t="shared" si="66"/>
        <v/>
      </c>
      <c r="L638" s="340"/>
      <c r="M638" s="345" t="s">
        <v>895</v>
      </c>
      <c r="N638" s="345" t="s">
        <v>895</v>
      </c>
      <c r="O638" s="339" t="s">
        <v>895</v>
      </c>
      <c r="P638" s="340">
        <v>4911.5343200999996</v>
      </c>
      <c r="Q638" s="340">
        <v>16468.325431000001</v>
      </c>
      <c r="R638" s="340">
        <v>24405.128164999998</v>
      </c>
      <c r="S638" s="340">
        <v>2013.6340889999999</v>
      </c>
      <c r="T638" s="332">
        <v>2006</v>
      </c>
      <c r="U638" s="341">
        <f t="shared" si="67"/>
        <v>0.9163151647954777</v>
      </c>
      <c r="V638" s="341" t="str">
        <f t="shared" si="68"/>
        <v/>
      </c>
      <c r="W638" s="341" t="str">
        <f t="shared" si="69"/>
        <v/>
      </c>
      <c r="X638" s="341">
        <v>0</v>
      </c>
      <c r="Y638" s="342">
        <f t="shared" si="70"/>
        <v>3.0723955790061717</v>
      </c>
      <c r="Z638" s="343">
        <f t="shared" si="71"/>
        <v>4.5531167205427199</v>
      </c>
      <c r="AA638" s="344">
        <f t="shared" si="72"/>
        <v>0.37567149730560362</v>
      </c>
      <c r="AC638" s="329" t="s">
        <v>73</v>
      </c>
      <c r="AD638" s="330">
        <f>VLOOKUP(AD635,_MixIB,2,FALSE())</f>
        <v>0.49299999999999999</v>
      </c>
      <c r="AJ638" s="210"/>
      <c r="AK638" s="298"/>
      <c r="AM638" s="284"/>
      <c r="AN638" s="284"/>
      <c r="AQ638" s="284"/>
    </row>
    <row r="639" spans="3:43" x14ac:dyDescent="0.25">
      <c r="C639" s="332">
        <v>2007</v>
      </c>
      <c r="D639" s="333">
        <v>473126.86341599998</v>
      </c>
      <c r="E639" s="334">
        <f t="shared" si="62"/>
        <v>5501475.1559999995</v>
      </c>
      <c r="F639" s="335" t="str">
        <f t="shared" si="63"/>
        <v/>
      </c>
      <c r="G639" s="334" t="str">
        <f t="shared" si="64"/>
        <v/>
      </c>
      <c r="H639" s="335" t="str">
        <f t="shared" si="65"/>
        <v/>
      </c>
      <c r="I639" s="333"/>
      <c r="J639" s="336"/>
      <c r="K639" s="335" t="str">
        <f t="shared" si="66"/>
        <v/>
      </c>
      <c r="L639" s="340"/>
      <c r="M639" s="340">
        <v>0.4</v>
      </c>
      <c r="N639" s="340">
        <v>0.45</v>
      </c>
      <c r="O639" s="346">
        <f>1-M639/N639</f>
        <v>0.11111111111111105</v>
      </c>
      <c r="P639" s="340">
        <v>4985.6249906000003</v>
      </c>
      <c r="Q639" s="340">
        <v>14060.964943000001</v>
      </c>
      <c r="R639" s="340">
        <v>22089.996789000001</v>
      </c>
      <c r="S639" s="340">
        <v>861.96031300000004</v>
      </c>
      <c r="T639" s="332">
        <v>2007</v>
      </c>
      <c r="U639" s="341">
        <f t="shared" si="67"/>
        <v>0.9062342097760081</v>
      </c>
      <c r="V639" s="341" t="str">
        <f t="shared" si="68"/>
        <v/>
      </c>
      <c r="W639" s="341" t="str">
        <f t="shared" si="69"/>
        <v/>
      </c>
      <c r="X639" s="341">
        <v>0</v>
      </c>
      <c r="Y639" s="342">
        <f t="shared" si="70"/>
        <v>2.5558535745935127</v>
      </c>
      <c r="Z639" s="343">
        <f t="shared" si="71"/>
        <v>4.0152861119273231</v>
      </c>
      <c r="AA639" s="344">
        <f t="shared" si="72"/>
        <v>0.15667803426503379</v>
      </c>
      <c r="AJ639" s="210"/>
    </row>
    <row r="640" spans="3:43" x14ac:dyDescent="0.25">
      <c r="C640" s="332">
        <v>2008</v>
      </c>
      <c r="D640" s="333">
        <v>489546.91600000003</v>
      </c>
      <c r="E640" s="334">
        <f t="shared" si="62"/>
        <v>5692406</v>
      </c>
      <c r="F640" s="335" t="str">
        <f t="shared" si="63"/>
        <v/>
      </c>
      <c r="G640" s="334" t="str">
        <f t="shared" si="64"/>
        <v/>
      </c>
      <c r="H640" s="335" t="str">
        <f t="shared" si="65"/>
        <v/>
      </c>
      <c r="I640" s="333"/>
      <c r="J640" s="336"/>
      <c r="K640" s="335" t="str">
        <f t="shared" si="66"/>
        <v/>
      </c>
      <c r="L640" s="340"/>
      <c r="M640" s="345" t="s">
        <v>895</v>
      </c>
      <c r="N640" s="345" t="s">
        <v>895</v>
      </c>
      <c r="O640" s="339" t="s">
        <v>895</v>
      </c>
      <c r="P640" s="340">
        <v>5262.4961990000002</v>
      </c>
      <c r="Q640" s="340">
        <v>12468.962111000001</v>
      </c>
      <c r="R640" s="340">
        <v>26902.130928669299</v>
      </c>
      <c r="S640" s="340">
        <v>661.49313728206505</v>
      </c>
      <c r="T640" s="332">
        <v>2008</v>
      </c>
      <c r="U640" s="341">
        <f t="shared" si="67"/>
        <v>0.92447660953909472</v>
      </c>
      <c r="V640" s="341" t="str">
        <f t="shared" si="68"/>
        <v/>
      </c>
      <c r="W640" s="341" t="str">
        <f t="shared" si="69"/>
        <v/>
      </c>
      <c r="X640" s="341">
        <v>0</v>
      </c>
      <c r="Y640" s="342">
        <f t="shared" si="70"/>
        <v>2.1904555140655817</v>
      </c>
      <c r="Z640" s="343">
        <f t="shared" si="71"/>
        <v>4.7259684092577547</v>
      </c>
      <c r="AA640" s="344">
        <f t="shared" si="72"/>
        <v>0.11620624693355763</v>
      </c>
      <c r="AC640" t="s">
        <v>897</v>
      </c>
    </row>
    <row r="641" spans="3:43" x14ac:dyDescent="0.25">
      <c r="C641" s="332">
        <v>2009</v>
      </c>
      <c r="D641" s="333">
        <v>471327</v>
      </c>
      <c r="E641" s="334">
        <f t="shared" si="62"/>
        <v>5480546.5116279069</v>
      </c>
      <c r="F641" s="335" t="str">
        <f t="shared" si="63"/>
        <v/>
      </c>
      <c r="G641" s="334" t="str">
        <f t="shared" si="64"/>
        <v/>
      </c>
      <c r="H641" s="335" t="str">
        <f t="shared" si="65"/>
        <v/>
      </c>
      <c r="I641" s="333"/>
      <c r="J641" s="336"/>
      <c r="K641" s="335" t="str">
        <f t="shared" si="66"/>
        <v/>
      </c>
      <c r="L641" s="340"/>
      <c r="M641" s="340">
        <v>0.27</v>
      </c>
      <c r="N641" s="340">
        <v>0.33</v>
      </c>
      <c r="O641" s="346">
        <f t="shared" ref="O641:O652" si="73">1-M641/N641</f>
        <v>0.18181818181818177</v>
      </c>
      <c r="P641" s="340">
        <v>5396.7790587</v>
      </c>
      <c r="Q641" s="340">
        <v>11892.318902999999</v>
      </c>
      <c r="R641" s="340">
        <v>24211.6379288887</v>
      </c>
      <c r="S641" s="340">
        <v>454.01799389677097</v>
      </c>
      <c r="T641" s="332">
        <v>2009</v>
      </c>
      <c r="U641" s="341">
        <f t="shared" si="67"/>
        <v>0.98471549274325454</v>
      </c>
      <c r="V641" s="341" t="str">
        <f t="shared" si="68"/>
        <v/>
      </c>
      <c r="W641" s="341" t="str">
        <f t="shared" si="69"/>
        <v/>
      </c>
      <c r="X641" s="341">
        <v>0</v>
      </c>
      <c r="Y641" s="342">
        <f t="shared" si="70"/>
        <v>2.1699147845508531</v>
      </c>
      <c r="Z641" s="343">
        <f t="shared" si="71"/>
        <v>4.4177415295207529</v>
      </c>
      <c r="AA641" s="344">
        <f t="shared" si="72"/>
        <v>8.2841737212428532E-2</v>
      </c>
      <c r="AC641" s="329" t="s">
        <v>898</v>
      </c>
      <c r="AD641" s="329">
        <f>'4.1_Electricidad Illes Balears'!G21</f>
        <v>0</v>
      </c>
      <c r="AE641" s="347">
        <f>'4.1_Electricidad Illes Balears'!H21</f>
        <v>0</v>
      </c>
      <c r="AF641" s="330">
        <f t="shared" ref="AF641:AF660" si="74">IF(AD641=$AC$636,$AD$636,IF(AD641=$AC$637,$AD$637,IF(AD641=$AC$638,$AD$638,0)))</f>
        <v>0</v>
      </c>
      <c r="AG641" s="330">
        <f t="shared" ref="AG641:AG660" si="75">AE641*AF641</f>
        <v>0</v>
      </c>
      <c r="AH641" s="329">
        <f>SUM(AG641:AG660)</f>
        <v>0</v>
      </c>
    </row>
    <row r="642" spans="3:43" x14ac:dyDescent="0.25">
      <c r="C642" s="332">
        <v>2010</v>
      </c>
      <c r="D642" s="333">
        <v>462212.41808600002</v>
      </c>
      <c r="E642" s="334">
        <f t="shared" si="62"/>
        <v>5374563.0010000002</v>
      </c>
      <c r="F642" s="335" t="str">
        <f t="shared" si="63"/>
        <v/>
      </c>
      <c r="G642" s="334" t="str">
        <f t="shared" si="64"/>
        <v/>
      </c>
      <c r="H642" s="335" t="str">
        <f t="shared" si="65"/>
        <v/>
      </c>
      <c r="I642" s="333"/>
      <c r="J642" s="336"/>
      <c r="K642" s="335" t="str">
        <f t="shared" si="66"/>
        <v/>
      </c>
      <c r="L642" s="340"/>
      <c r="M642" s="340">
        <v>0.24</v>
      </c>
      <c r="N642" s="340">
        <v>0.31</v>
      </c>
      <c r="O642" s="346">
        <f t="shared" si="73"/>
        <v>0.22580645161290325</v>
      </c>
      <c r="P642" s="340">
        <v>5263.1609055999998</v>
      </c>
      <c r="Q642" s="340">
        <v>11254.434600000001</v>
      </c>
      <c r="R642" s="340">
        <v>23564.878256244901</v>
      </c>
      <c r="S642" s="340">
        <v>534.92430208972405</v>
      </c>
      <c r="T642" s="332">
        <v>2010</v>
      </c>
      <c r="U642" s="341">
        <f t="shared" si="67"/>
        <v>0.9792723435599745</v>
      </c>
      <c r="V642" s="341" t="str">
        <f t="shared" si="68"/>
        <v/>
      </c>
      <c r="W642" s="341" t="str">
        <f t="shared" si="69"/>
        <v/>
      </c>
      <c r="X642" s="341">
        <v>0</v>
      </c>
      <c r="Y642" s="342">
        <f t="shared" si="70"/>
        <v>2.094018545862423</v>
      </c>
      <c r="Z642" s="343">
        <f t="shared" si="71"/>
        <v>4.3845198673567287</v>
      </c>
      <c r="AA642" s="344">
        <f t="shared" si="72"/>
        <v>9.9528892300675451E-2</v>
      </c>
      <c r="AC642" s="329" t="s">
        <v>899</v>
      </c>
      <c r="AD642" s="329">
        <f>'4.1_Electricidad Illes Balears'!G22</f>
        <v>0</v>
      </c>
      <c r="AE642" s="347">
        <f>'4.1_Electricidad Illes Balears'!H22</f>
        <v>0</v>
      </c>
      <c r="AF642" s="330">
        <f t="shared" si="74"/>
        <v>0</v>
      </c>
      <c r="AG642" s="330">
        <f t="shared" si="75"/>
        <v>0</v>
      </c>
      <c r="AM642" t="s">
        <v>51</v>
      </c>
      <c r="AN642" t="s">
        <v>52</v>
      </c>
      <c r="AO642" t="s">
        <v>53</v>
      </c>
      <c r="AP642" t="s">
        <v>840</v>
      </c>
    </row>
    <row r="643" spans="3:43" x14ac:dyDescent="0.25">
      <c r="C643" s="332">
        <v>2011</v>
      </c>
      <c r="D643" s="333">
        <v>455503.52792167198</v>
      </c>
      <c r="E643" s="334">
        <f t="shared" si="62"/>
        <v>5296552.6502519995</v>
      </c>
      <c r="F643" s="335" t="str">
        <f t="shared" si="63"/>
        <v/>
      </c>
      <c r="G643" s="334" t="str">
        <f t="shared" si="64"/>
        <v/>
      </c>
      <c r="H643" s="335" t="str">
        <f t="shared" si="65"/>
        <v/>
      </c>
      <c r="I643" s="333"/>
      <c r="J643" s="348">
        <v>43</v>
      </c>
      <c r="K643" s="335">
        <f t="shared" si="66"/>
        <v>500</v>
      </c>
      <c r="L643" s="349">
        <v>0.27500000000000002</v>
      </c>
      <c r="M643" s="340">
        <v>0.28999999999999998</v>
      </c>
      <c r="N643" s="340">
        <v>0.36</v>
      </c>
      <c r="O643" s="346">
        <f t="shared" si="73"/>
        <v>0.19444444444444442</v>
      </c>
      <c r="P643" s="340">
        <v>5095.0975453000001</v>
      </c>
      <c r="Q643" s="340">
        <v>9415.1281560000007</v>
      </c>
      <c r="R643" s="340">
        <v>21144.5447357548</v>
      </c>
      <c r="S643" s="340">
        <v>527.62573270793496</v>
      </c>
      <c r="T643" s="332">
        <v>2011</v>
      </c>
      <c r="U643" s="341">
        <f t="shared" ref="U643:U651" si="76">(P643+(J643/86)*L643)/(D643/86)</f>
        <v>0.96199082341937614</v>
      </c>
      <c r="V643" s="341" t="str">
        <f t="shared" si="68"/>
        <v/>
      </c>
      <c r="W643" s="341" t="str">
        <f t="shared" si="69"/>
        <v/>
      </c>
      <c r="X643" s="341">
        <v>0</v>
      </c>
      <c r="Y643" s="342">
        <f t="shared" si="70"/>
        <v>1.7775954998865247</v>
      </c>
      <c r="Z643" s="343">
        <f t="shared" si="71"/>
        <v>3.9921333992118031</v>
      </c>
      <c r="AA643" s="344">
        <f t="shared" si="72"/>
        <v>9.961682013730791E-2</v>
      </c>
      <c r="AC643" s="329" t="s">
        <v>900</v>
      </c>
      <c r="AD643" s="329">
        <f>'4.1_Electricidad Illes Balears'!G23</f>
        <v>0</v>
      </c>
      <c r="AE643" s="347">
        <f>'4.1_Electricidad Illes Balears'!H23</f>
        <v>0</v>
      </c>
      <c r="AF643" s="330">
        <f t="shared" si="74"/>
        <v>0</v>
      </c>
      <c r="AG643" s="330">
        <f t="shared" si="75"/>
        <v>0</v>
      </c>
      <c r="AL643" s="265" t="s">
        <v>838</v>
      </c>
      <c r="AM643" s="203" t="str">
        <f>IF(ISNUMBER('0_Datos generales organización'!H15),'0_Datos generales organización'!H15,"")</f>
        <v/>
      </c>
      <c r="AN643" s="203" t="str">
        <f>IF(ISNUMBER('0_Datos generales organización'!H17),'0_Datos generales organización'!H17,"")</f>
        <v/>
      </c>
      <c r="AO643" s="203" t="str">
        <f>IF(ISNUMBER('0_Datos generales organización'!H19),'0_Datos generales organización'!H19,"")</f>
        <v/>
      </c>
      <c r="AP643" s="203">
        <f>IF(ISNUMBER('0_Datos generales organización'!G3),'0_Datos generales organización'!G3,"")</f>
        <v>2020</v>
      </c>
    </row>
    <row r="644" spans="3:43" x14ac:dyDescent="0.25">
      <c r="C644" s="332">
        <v>2012</v>
      </c>
      <c r="D644" s="333">
        <v>456553.38004677201</v>
      </c>
      <c r="E644" s="334">
        <f t="shared" si="62"/>
        <v>5308760.2331020003</v>
      </c>
      <c r="F644" s="335" t="str">
        <f t="shared" si="63"/>
        <v/>
      </c>
      <c r="G644" s="334" t="str">
        <f t="shared" si="64"/>
        <v/>
      </c>
      <c r="H644" s="335" t="str">
        <f t="shared" si="65"/>
        <v/>
      </c>
      <c r="I644" s="333"/>
      <c r="J644" s="348">
        <v>49088.885999999999</v>
      </c>
      <c r="K644" s="335">
        <f t="shared" si="66"/>
        <v>570801</v>
      </c>
      <c r="L644" s="349">
        <v>0.3</v>
      </c>
      <c r="M644" s="340">
        <v>0.33</v>
      </c>
      <c r="N644" s="340">
        <v>0.4</v>
      </c>
      <c r="O644" s="346">
        <f t="shared" si="73"/>
        <v>0.17500000000000004</v>
      </c>
      <c r="P644" s="340">
        <v>4571.2629151000001</v>
      </c>
      <c r="Q644" s="340">
        <v>8580.4574260000009</v>
      </c>
      <c r="R644" s="340">
        <v>19153.485341880001</v>
      </c>
      <c r="S644" s="340">
        <v>423.2018228</v>
      </c>
      <c r="T644" s="332">
        <v>2012</v>
      </c>
      <c r="U644" s="341">
        <f t="shared" si="76"/>
        <v>0.8933353564413804</v>
      </c>
      <c r="V644" s="341" t="str">
        <f t="shared" si="68"/>
        <v/>
      </c>
      <c r="W644" s="341" t="str">
        <f t="shared" si="69"/>
        <v/>
      </c>
      <c r="X644" s="341">
        <v>0</v>
      </c>
      <c r="Y644" s="342">
        <f t="shared" si="70"/>
        <v>1.6162827193621989</v>
      </c>
      <c r="Z644" s="343">
        <f t="shared" si="71"/>
        <v>3.6079017512320934</v>
      </c>
      <c r="AA644" s="344">
        <f t="shared" si="72"/>
        <v>7.9717637304692501E-2</v>
      </c>
      <c r="AC644" s="329" t="s">
        <v>901</v>
      </c>
      <c r="AD644" s="329">
        <f>'4.1_Electricidad Illes Balears'!G24</f>
        <v>0</v>
      </c>
      <c r="AE644" s="347">
        <f>'4.1_Electricidad Illes Balears'!H24</f>
        <v>0</v>
      </c>
      <c r="AF644" s="330">
        <f t="shared" si="74"/>
        <v>0</v>
      </c>
      <c r="AG644" s="330">
        <f t="shared" si="75"/>
        <v>0</v>
      </c>
      <c r="AL644" s="265" t="s">
        <v>841</v>
      </c>
      <c r="AM644" s="301">
        <f>ROUND('0_Datos generales organización'!J30,2)</f>
        <v>0</v>
      </c>
      <c r="AN644" s="301">
        <f>ROUND('0_Datos generales organización'!J31,2)</f>
        <v>0</v>
      </c>
      <c r="AO644" s="301">
        <f>ROUND('0_Datos generales organización'!J32,2)</f>
        <v>0</v>
      </c>
      <c r="AP644" s="301">
        <f>ROUND('0_Datos generales organización'!J28,2)</f>
        <v>0</v>
      </c>
      <c r="AQ644" s="302" t="s">
        <v>842</v>
      </c>
    </row>
    <row r="645" spans="3:43" x14ac:dyDescent="0.25">
      <c r="C645" s="332">
        <v>2013</v>
      </c>
      <c r="D645" s="333">
        <v>439291.54794126598</v>
      </c>
      <c r="E645" s="334">
        <f t="shared" si="62"/>
        <v>5108041.2551309997</v>
      </c>
      <c r="F645" s="335" t="str">
        <f t="shared" si="63"/>
        <v/>
      </c>
      <c r="G645" s="334" t="str">
        <f t="shared" si="64"/>
        <v/>
      </c>
      <c r="H645" s="335" t="str">
        <f t="shared" si="65"/>
        <v/>
      </c>
      <c r="I645" s="333"/>
      <c r="J645" s="348">
        <v>109091.774</v>
      </c>
      <c r="K645" s="335">
        <f t="shared" si="66"/>
        <v>1268509</v>
      </c>
      <c r="L645" s="349">
        <v>0.24</v>
      </c>
      <c r="M645" s="340">
        <v>0.27</v>
      </c>
      <c r="N645" s="340">
        <v>0.36</v>
      </c>
      <c r="O645" s="346">
        <f t="shared" si="73"/>
        <v>0.24999999999999989</v>
      </c>
      <c r="P645" s="340">
        <v>3873.6547596999999</v>
      </c>
      <c r="Q645" s="340">
        <v>7120.1738029999997</v>
      </c>
      <c r="R645" s="340">
        <v>13516.6634531285</v>
      </c>
      <c r="S645" s="340">
        <v>327.01987805520201</v>
      </c>
      <c r="T645" s="332">
        <v>2013</v>
      </c>
      <c r="U645" s="341">
        <f t="shared" si="76"/>
        <v>0.81794502256674684</v>
      </c>
      <c r="V645" s="341" t="str">
        <f t="shared" si="68"/>
        <v/>
      </c>
      <c r="W645" s="341" t="str">
        <f t="shared" si="69"/>
        <v/>
      </c>
      <c r="X645" s="341">
        <v>0</v>
      </c>
      <c r="Y645" s="342">
        <f t="shared" si="70"/>
        <v>1.3939147018140903</v>
      </c>
      <c r="Z645" s="343">
        <f t="shared" si="71"/>
        <v>2.6461539322046557</v>
      </c>
      <c r="AA645" s="344">
        <f t="shared" si="72"/>
        <v>6.4020602364303986E-2</v>
      </c>
      <c r="AC645" s="329" t="s">
        <v>902</v>
      </c>
      <c r="AD645" s="329">
        <f>'4.1_Electricidad Illes Balears'!G25</f>
        <v>0</v>
      </c>
      <c r="AE645" s="347">
        <f>'4.1_Electricidad Illes Balears'!H25</f>
        <v>0</v>
      </c>
      <c r="AF645" s="330">
        <f t="shared" si="74"/>
        <v>0</v>
      </c>
      <c r="AG645" s="330">
        <f t="shared" si="75"/>
        <v>0</v>
      </c>
      <c r="AL645" s="265" t="s">
        <v>843</v>
      </c>
      <c r="AM645" s="301">
        <f>ROUND('0_Datos generales organización'!I42,2)</f>
        <v>0</v>
      </c>
      <c r="AN645" s="301">
        <f>ROUND('0_Datos generales organización'!I43,2)</f>
        <v>0</v>
      </c>
      <c r="AO645" s="301">
        <f>ROUND('0_Datos generales organización'!I44,2)</f>
        <v>0</v>
      </c>
      <c r="AP645" s="301">
        <f>ROUND('0_Datos generales organización'!I40,2)</f>
        <v>0</v>
      </c>
      <c r="AQ645" s="302" t="s">
        <v>842</v>
      </c>
    </row>
    <row r="646" spans="3:43" x14ac:dyDescent="0.25">
      <c r="C646" s="332">
        <v>2014</v>
      </c>
      <c r="D646" s="333">
        <v>437381.04215450399</v>
      </c>
      <c r="E646" s="334">
        <f t="shared" si="62"/>
        <v>5085826.0715640001</v>
      </c>
      <c r="F646" s="335" t="str">
        <f t="shared" si="63"/>
        <v/>
      </c>
      <c r="G646" s="334" t="str">
        <f t="shared" si="64"/>
        <v/>
      </c>
      <c r="H646" s="335" t="str">
        <f t="shared" si="65"/>
        <v/>
      </c>
      <c r="I646" s="333"/>
      <c r="J646" s="348">
        <v>111628</v>
      </c>
      <c r="K646" s="335">
        <f t="shared" si="66"/>
        <v>1298000</v>
      </c>
      <c r="L646" s="349">
        <v>0.248</v>
      </c>
      <c r="M646" s="340">
        <v>0.27</v>
      </c>
      <c r="N646" s="340">
        <v>0.37</v>
      </c>
      <c r="O646" s="346">
        <f t="shared" si="73"/>
        <v>0.27027027027027017</v>
      </c>
      <c r="P646" s="340">
        <v>3594.3811157999999</v>
      </c>
      <c r="Q646" s="340">
        <v>7377.8376366683497</v>
      </c>
      <c r="R646" s="340">
        <v>11694.717815</v>
      </c>
      <c r="S646" s="340">
        <v>285.23056137493001</v>
      </c>
      <c r="T646" s="332">
        <v>2014</v>
      </c>
      <c r="U646" s="341">
        <f t="shared" si="76"/>
        <v>0.77003913635521926</v>
      </c>
      <c r="V646" s="341" t="str">
        <f t="shared" si="68"/>
        <v/>
      </c>
      <c r="W646" s="341" t="str">
        <f t="shared" si="69"/>
        <v/>
      </c>
      <c r="X646" s="341">
        <v>0</v>
      </c>
      <c r="Y646" s="342">
        <f t="shared" si="70"/>
        <v>1.4506665255266009</v>
      </c>
      <c r="Z646" s="343">
        <f t="shared" si="71"/>
        <v>2.299472622626205</v>
      </c>
      <c r="AA646" s="344">
        <f t="shared" si="72"/>
        <v>5.6083428210358666E-2</v>
      </c>
      <c r="AC646" s="329" t="s">
        <v>903</v>
      </c>
      <c r="AD646" s="329">
        <f>'4.1_Electricidad Illes Balears'!G26</f>
        <v>0</v>
      </c>
      <c r="AE646" s="347">
        <f>'4.1_Electricidad Illes Balears'!H26</f>
        <v>0</v>
      </c>
      <c r="AF646" s="330">
        <f t="shared" si="74"/>
        <v>0</v>
      </c>
      <c r="AG646" s="330">
        <f t="shared" si="75"/>
        <v>0</v>
      </c>
      <c r="AL646" s="265" t="s">
        <v>50</v>
      </c>
      <c r="AM646" s="301">
        <f>ROUND('0_Datos generales organización'!J42,2)</f>
        <v>0</v>
      </c>
      <c r="AN646" s="301">
        <f>ROUND('0_Datos generales organización'!J43,2)</f>
        <v>0</v>
      </c>
      <c r="AO646" s="301">
        <f>ROUND('0_Datos generales organización'!J44,2)</f>
        <v>0</v>
      </c>
      <c r="AP646" s="301">
        <f>ROUND('0_Datos generales organización'!J40,2)</f>
        <v>0</v>
      </c>
      <c r="AQ646" s="302" t="s">
        <v>842</v>
      </c>
    </row>
    <row r="647" spans="3:43" x14ac:dyDescent="0.25">
      <c r="C647" s="332">
        <v>2015</v>
      </c>
      <c r="D647" s="333">
        <v>457687.02138638397</v>
      </c>
      <c r="E647" s="334">
        <f t="shared" si="62"/>
        <v>5321942.1091439994</v>
      </c>
      <c r="F647" s="335" t="str">
        <f t="shared" si="63"/>
        <v/>
      </c>
      <c r="G647" s="334" t="str">
        <f t="shared" si="64"/>
        <v/>
      </c>
      <c r="H647" s="335" t="str">
        <f t="shared" si="65"/>
        <v/>
      </c>
      <c r="I647" s="333"/>
      <c r="J647" s="348">
        <v>114896</v>
      </c>
      <c r="K647" s="335">
        <f t="shared" si="66"/>
        <v>1336000</v>
      </c>
      <c r="L647" s="349">
        <v>0.26671348569578601</v>
      </c>
      <c r="M647" s="340">
        <v>0.3</v>
      </c>
      <c r="N647" s="340">
        <v>0.4</v>
      </c>
      <c r="O647" s="346">
        <f t="shared" si="73"/>
        <v>0.25000000000000011</v>
      </c>
      <c r="P647" s="340">
        <v>3750.6752360999999</v>
      </c>
      <c r="Q647" s="340">
        <v>5632.1525283202</v>
      </c>
      <c r="R647" s="340">
        <v>9563.1022594000005</v>
      </c>
      <c r="S647" s="340">
        <v>221.948655548695</v>
      </c>
      <c r="T647" s="332">
        <v>2015</v>
      </c>
      <c r="U647" s="341">
        <f t="shared" si="76"/>
        <v>0.77171159865362682</v>
      </c>
      <c r="V647" s="341" t="str">
        <f t="shared" si="68"/>
        <v/>
      </c>
      <c r="W647" s="341" t="str">
        <f t="shared" si="69"/>
        <v/>
      </c>
      <c r="X647" s="341">
        <v>0</v>
      </c>
      <c r="Y647" s="342">
        <f t="shared" si="70"/>
        <v>1.0582889503144361</v>
      </c>
      <c r="Z647" s="343">
        <f t="shared" si="71"/>
        <v>1.7969196325846852</v>
      </c>
      <c r="AA647" s="344">
        <f t="shared" si="72"/>
        <v>4.1704447548828003E-2</v>
      </c>
      <c r="AC647" s="329" t="s">
        <v>904</v>
      </c>
      <c r="AD647" s="329">
        <f>'4.1_Electricidad Illes Balears'!G27</f>
        <v>0</v>
      </c>
      <c r="AE647" s="347">
        <f>'4.1_Electricidad Illes Balears'!H27</f>
        <v>0</v>
      </c>
      <c r="AF647" s="330">
        <f t="shared" si="74"/>
        <v>0</v>
      </c>
      <c r="AG647" s="330">
        <f t="shared" si="75"/>
        <v>0</v>
      </c>
      <c r="AQ647" s="302"/>
    </row>
    <row r="648" spans="3:43" x14ac:dyDescent="0.25">
      <c r="C648" s="332">
        <v>2016</v>
      </c>
      <c r="D648" s="333">
        <v>459007.91127109999</v>
      </c>
      <c r="E648" s="334">
        <f t="shared" si="62"/>
        <v>5337301.29385</v>
      </c>
      <c r="F648" s="335" t="str">
        <f t="shared" si="63"/>
        <v/>
      </c>
      <c r="G648" s="334" t="str">
        <f t="shared" si="64"/>
        <v/>
      </c>
      <c r="H648" s="335" t="str">
        <f t="shared" si="65"/>
        <v/>
      </c>
      <c r="I648" s="333"/>
      <c r="J648" s="348">
        <v>107586</v>
      </c>
      <c r="K648" s="335">
        <f t="shared" si="66"/>
        <v>1251000</v>
      </c>
      <c r="L648" s="349">
        <v>0.24199999999999999</v>
      </c>
      <c r="M648" s="340">
        <v>0.25</v>
      </c>
      <c r="N648" s="340">
        <v>0.36</v>
      </c>
      <c r="O648" s="346">
        <f t="shared" si="73"/>
        <v>0.30555555555555558</v>
      </c>
      <c r="P648" s="340">
        <v>3688.0857538999999</v>
      </c>
      <c r="Q648" s="340">
        <v>7619.2687100000003</v>
      </c>
      <c r="R648" s="340">
        <v>13143.917292</v>
      </c>
      <c r="S648" s="340">
        <v>228.23989499999999</v>
      </c>
      <c r="T648" s="332">
        <v>2016</v>
      </c>
      <c r="U648" s="341">
        <f t="shared" si="76"/>
        <v>0.74772390280805434</v>
      </c>
      <c r="V648" s="341" t="str">
        <f t="shared" si="68"/>
        <v/>
      </c>
      <c r="W648" s="341" t="str">
        <f t="shared" si="69"/>
        <v/>
      </c>
      <c r="X648" s="341">
        <v>0</v>
      </c>
      <c r="Y648" s="342">
        <f t="shared" si="70"/>
        <v>1.4275507959011866</v>
      </c>
      <c r="Z648" s="343">
        <f t="shared" si="71"/>
        <v>2.4626522971722267</v>
      </c>
      <c r="AA648" s="344">
        <f t="shared" si="72"/>
        <v>4.2763164834444228E-2</v>
      </c>
      <c r="AC648" s="329" t="s">
        <v>905</v>
      </c>
      <c r="AD648" s="329">
        <f>'4.1_Electricidad Illes Balears'!G28</f>
        <v>0</v>
      </c>
      <c r="AE648" s="347">
        <f>'4.1_Electricidad Illes Balears'!H28</f>
        <v>0</v>
      </c>
      <c r="AF648" s="330">
        <f t="shared" si="74"/>
        <v>0</v>
      </c>
      <c r="AG648" s="330">
        <f t="shared" si="75"/>
        <v>0</v>
      </c>
      <c r="AM648" t="s">
        <v>51</v>
      </c>
      <c r="AN648" t="s">
        <v>52</v>
      </c>
      <c r="AO648" t="s">
        <v>53</v>
      </c>
      <c r="AP648" t="s">
        <v>840</v>
      </c>
    </row>
    <row r="649" spans="3:43" x14ac:dyDescent="0.25">
      <c r="C649" s="332">
        <v>2017</v>
      </c>
      <c r="D649" s="333">
        <v>474741.370264442</v>
      </c>
      <c r="E649" s="334">
        <f t="shared" si="62"/>
        <v>5520248.4914470008</v>
      </c>
      <c r="F649" s="335" t="str">
        <f t="shared" si="63"/>
        <v/>
      </c>
      <c r="G649" s="334" t="str">
        <f t="shared" si="64"/>
        <v/>
      </c>
      <c r="H649" s="335" t="str">
        <f t="shared" si="65"/>
        <v/>
      </c>
      <c r="I649" s="333"/>
      <c r="J649" s="348">
        <v>101437</v>
      </c>
      <c r="K649" s="335">
        <f t="shared" si="66"/>
        <v>1179500</v>
      </c>
      <c r="L649" s="336">
        <v>0.25700000000000001</v>
      </c>
      <c r="M649" s="340">
        <v>0.31</v>
      </c>
      <c r="N649" s="340">
        <v>0.43</v>
      </c>
      <c r="O649" s="346">
        <f t="shared" si="73"/>
        <v>0.27906976744186041</v>
      </c>
      <c r="P649" s="340">
        <v>3987.5130297616802</v>
      </c>
      <c r="Q649" s="340">
        <v>6945.2381999999998</v>
      </c>
      <c r="R649" s="340">
        <v>11497.258555</v>
      </c>
      <c r="S649" s="340">
        <v>197.005225</v>
      </c>
      <c r="T649" s="332">
        <v>2017</v>
      </c>
      <c r="U649" s="341">
        <f t="shared" si="76"/>
        <v>0.77725568629918529</v>
      </c>
      <c r="V649" s="341" t="str">
        <f t="shared" si="68"/>
        <v/>
      </c>
      <c r="W649" s="341" t="str">
        <f t="shared" si="69"/>
        <v/>
      </c>
      <c r="X649" s="341">
        <v>0</v>
      </c>
      <c r="Y649" s="342">
        <f t="shared" si="70"/>
        <v>1.2581386890030151</v>
      </c>
      <c r="Z649" s="343">
        <f t="shared" si="71"/>
        <v>2.0827429368104897</v>
      </c>
      <c r="AA649" s="344">
        <f t="shared" si="72"/>
        <v>3.5687745815290252E-2</v>
      </c>
      <c r="AC649" s="329" t="s">
        <v>906</v>
      </c>
      <c r="AD649" s="329">
        <f>'4.1_Electricidad Illes Balears'!G29</f>
        <v>0</v>
      </c>
      <c r="AE649" s="347">
        <f>'4.1_Electricidad Illes Balears'!H29</f>
        <v>0</v>
      </c>
      <c r="AF649" s="330">
        <f t="shared" si="74"/>
        <v>0</v>
      </c>
      <c r="AG649" s="330">
        <f t="shared" si="75"/>
        <v>0</v>
      </c>
      <c r="AM649" s="303" t="str">
        <f>IF(ISNUMBER(AM643),AM643,"")</f>
        <v/>
      </c>
      <c r="AN649" s="303" t="str">
        <f>IF(ISNUMBER(AN643),AN643,"")</f>
        <v/>
      </c>
      <c r="AO649" s="303" t="str">
        <f>IF(ISNUMBER(AO643),AO643,"")</f>
        <v/>
      </c>
      <c r="AP649" s="303">
        <f>IF(ISNUMBER(AP643),AP643,"")</f>
        <v>2020</v>
      </c>
    </row>
    <row r="650" spans="3:43" x14ac:dyDescent="0.25">
      <c r="C650" s="332">
        <v>2018</v>
      </c>
      <c r="D650" s="333">
        <v>482836.974203764</v>
      </c>
      <c r="E650" s="334">
        <f t="shared" si="62"/>
        <v>5614383.4209740004</v>
      </c>
      <c r="F650" s="335">
        <f t="shared" si="63"/>
        <v>444271.30620376405</v>
      </c>
      <c r="G650" s="334">
        <f t="shared" si="64"/>
        <v>5165945.4209740004</v>
      </c>
      <c r="H650" s="335">
        <f t="shared" si="65"/>
        <v>38565.667999999998</v>
      </c>
      <c r="I650" s="333">
        <v>448438</v>
      </c>
      <c r="J650" s="348">
        <v>106072.4</v>
      </c>
      <c r="K650" s="335">
        <f t="shared" si="66"/>
        <v>1233400</v>
      </c>
      <c r="L650" s="336">
        <v>0.219</v>
      </c>
      <c r="M650" s="336">
        <v>0.26</v>
      </c>
      <c r="N650" s="336">
        <v>0.41</v>
      </c>
      <c r="O650" s="346">
        <f t="shared" si="73"/>
        <v>0.36585365853658536</v>
      </c>
      <c r="P650" s="340">
        <v>4083.15</v>
      </c>
      <c r="Q650" s="340">
        <f>5966.419091+34.2409</f>
        <v>6000.6599909999995</v>
      </c>
      <c r="R650" s="340">
        <f>9715.579226+254.9437</f>
        <v>9970.5229259999996</v>
      </c>
      <c r="S650" s="340">
        <f>213.384211+7.1601</f>
        <v>220.54431099999999</v>
      </c>
      <c r="T650" s="332">
        <v>2018</v>
      </c>
      <c r="U650" s="341">
        <f t="shared" si="76"/>
        <v>0.77537714715693273</v>
      </c>
      <c r="V650" s="341">
        <f t="shared" si="68"/>
        <v>0.82621081954738695</v>
      </c>
      <c r="W650" s="341">
        <f t="shared" si="69"/>
        <v>0.76021883080788</v>
      </c>
      <c r="X650" s="341">
        <v>0</v>
      </c>
      <c r="Y650" s="342">
        <f t="shared" si="70"/>
        <v>1.0688012451345881</v>
      </c>
      <c r="Z650" s="343">
        <f t="shared" si="71"/>
        <v>1.7758892078429307</v>
      </c>
      <c r="AA650" s="344">
        <f t="shared" si="72"/>
        <v>3.9282018070960198E-2</v>
      </c>
      <c r="AC650" s="329" t="s">
        <v>907</v>
      </c>
      <c r="AD650" s="329">
        <f>'4.1_Electricidad Illes Balears'!G30</f>
        <v>0</v>
      </c>
      <c r="AE650" s="347">
        <f>'4.1_Electricidad Illes Balears'!H30</f>
        <v>0</v>
      </c>
      <c r="AF650" s="330">
        <f t="shared" si="74"/>
        <v>0</v>
      </c>
      <c r="AG650" s="330">
        <f t="shared" si="75"/>
        <v>0</v>
      </c>
      <c r="AL650" s="265" t="s">
        <v>844</v>
      </c>
      <c r="AM650" s="301">
        <f>ROUND('0_Datos generales organización'!K15,2)</f>
        <v>0</v>
      </c>
      <c r="AN650" s="301">
        <f>ROUND('0_Datos generales organización'!K17,2)</f>
        <v>0</v>
      </c>
      <c r="AO650" s="301">
        <f>ROUND('0_Datos generales organización'!K19,2)</f>
        <v>0</v>
      </c>
      <c r="AP650" s="301">
        <f>ROUND('6.1_Resultados Illes Balears'!H19,2)</f>
        <v>0</v>
      </c>
      <c r="AQ650" s="302" t="s">
        <v>842</v>
      </c>
    </row>
    <row r="651" spans="3:43" x14ac:dyDescent="0.25">
      <c r="C651" s="332">
        <v>2019</v>
      </c>
      <c r="D651" s="333">
        <v>486022</v>
      </c>
      <c r="E651" s="334">
        <f t="shared" si="62"/>
        <v>5651418.6046511624</v>
      </c>
      <c r="F651" s="335" t="str">
        <f t="shared" si="63"/>
        <v/>
      </c>
      <c r="G651" s="334" t="str">
        <f t="shared" si="64"/>
        <v/>
      </c>
      <c r="H651" s="335" t="str">
        <f t="shared" si="65"/>
        <v/>
      </c>
      <c r="I651" s="381"/>
      <c r="J651" s="348">
        <v>145761</v>
      </c>
      <c r="K651" s="335">
        <f t="shared" si="66"/>
        <v>1694895.3488372094</v>
      </c>
      <c r="L651" s="336">
        <v>0.16500000000000001</v>
      </c>
      <c r="M651" s="350">
        <v>0.2</v>
      </c>
      <c r="N651" s="350">
        <v>0.31</v>
      </c>
      <c r="O651" s="346">
        <f t="shared" si="73"/>
        <v>0.35483870967741926</v>
      </c>
      <c r="P651" s="340">
        <v>3444.7852450371602</v>
      </c>
      <c r="Q651" s="340">
        <f>5106.85423476919+40.4542</f>
        <v>5147.3084347691902</v>
      </c>
      <c r="R651" s="340">
        <f>5803.817594+257.9096</f>
        <v>6061.7271940000001</v>
      </c>
      <c r="S651" s="340">
        <f>113.95821956783+7.2993</f>
        <v>121.25751956783</v>
      </c>
      <c r="T651" s="332">
        <v>2019</v>
      </c>
      <c r="U651" s="341">
        <f t="shared" si="76"/>
        <v>0.659027978307969</v>
      </c>
      <c r="V651" s="341" t="str">
        <f t="shared" si="68"/>
        <v/>
      </c>
      <c r="W651" s="341" t="str">
        <f t="shared" si="69"/>
        <v/>
      </c>
      <c r="X651" s="341">
        <v>0</v>
      </c>
      <c r="Y651" s="342">
        <f t="shared" si="70"/>
        <v>0.91079935762198072</v>
      </c>
      <c r="Z651" s="343">
        <f t="shared" si="71"/>
        <v>1.0726027601301997</v>
      </c>
      <c r="AA651" s="344">
        <f t="shared" si="72"/>
        <v>2.1456120675264451E-2</v>
      </c>
      <c r="AC651" s="329" t="s">
        <v>908</v>
      </c>
      <c r="AD651" s="329">
        <f>'4.1_Electricidad Illes Balears'!G31</f>
        <v>0</v>
      </c>
      <c r="AE651" s="347">
        <f>'4.1_Electricidad Illes Balears'!H31</f>
        <v>0</v>
      </c>
      <c r="AF651" s="330">
        <f t="shared" si="74"/>
        <v>0</v>
      </c>
      <c r="AG651" s="330">
        <f t="shared" si="75"/>
        <v>0</v>
      </c>
    </row>
    <row r="652" spans="3:43" x14ac:dyDescent="0.25">
      <c r="C652" s="332">
        <v>2020</v>
      </c>
      <c r="D652" s="333">
        <v>389057</v>
      </c>
      <c r="E652" s="334">
        <f t="shared" si="62"/>
        <v>4523918.6046511624</v>
      </c>
      <c r="F652" s="335" t="str">
        <f t="shared" si="63"/>
        <v/>
      </c>
      <c r="G652" s="334" t="str">
        <f t="shared" si="64"/>
        <v/>
      </c>
      <c r="H652" s="335" t="str">
        <f t="shared" si="65"/>
        <v/>
      </c>
      <c r="I652" s="381"/>
      <c r="J652" s="348">
        <v>123126</v>
      </c>
      <c r="K652" s="335">
        <f t="shared" si="66"/>
        <v>1431697.6744186047</v>
      </c>
      <c r="L652" s="336">
        <v>0.123</v>
      </c>
      <c r="M652" s="382"/>
      <c r="N652" s="382"/>
      <c r="O652" s="346" t="e">
        <f t="shared" si="73"/>
        <v>#DIV/0!</v>
      </c>
      <c r="P652" s="340">
        <v>2053.27</v>
      </c>
      <c r="Q652" s="340"/>
      <c r="R652" s="340"/>
      <c r="S652" s="340"/>
      <c r="T652" s="332">
        <v>2020</v>
      </c>
      <c r="U652" s="341">
        <v>0.49299999999999999</v>
      </c>
      <c r="V652" s="341" t="str">
        <f t="shared" si="68"/>
        <v/>
      </c>
      <c r="W652" s="341" t="str">
        <f t="shared" si="69"/>
        <v/>
      </c>
      <c r="X652" s="341">
        <v>0</v>
      </c>
      <c r="Y652" s="342">
        <f t="shared" si="70"/>
        <v>0</v>
      </c>
      <c r="Z652" s="343">
        <f t="shared" si="71"/>
        <v>0</v>
      </c>
      <c r="AA652" s="344">
        <f t="shared" si="72"/>
        <v>0</v>
      </c>
      <c r="AC652" s="329" t="s">
        <v>909</v>
      </c>
      <c r="AD652" s="329">
        <f>'4.1_Electricidad Illes Balears'!G32</f>
        <v>0</v>
      </c>
      <c r="AE652" s="347">
        <f>'4.1_Electricidad Illes Balears'!H32</f>
        <v>0</v>
      </c>
      <c r="AF652" s="330">
        <f t="shared" si="74"/>
        <v>0</v>
      </c>
      <c r="AG652" s="330">
        <f t="shared" si="75"/>
        <v>0</v>
      </c>
      <c r="AL652" t="s">
        <v>845</v>
      </c>
    </row>
    <row r="653" spans="3:43" x14ac:dyDescent="0.25">
      <c r="AC653" s="329" t="s">
        <v>910</v>
      </c>
      <c r="AD653" s="329">
        <f>'4.1_Electricidad Illes Balears'!G33</f>
        <v>0</v>
      </c>
      <c r="AE653" s="347">
        <f>'4.1_Electricidad Illes Balears'!H33</f>
        <v>0</v>
      </c>
      <c r="AF653" s="330">
        <f t="shared" si="74"/>
        <v>0</v>
      </c>
      <c r="AG653" s="330">
        <f t="shared" si="75"/>
        <v>0</v>
      </c>
      <c r="AM653" s="265" t="s">
        <v>846</v>
      </c>
      <c r="AN653" s="265" t="s">
        <v>847</v>
      </c>
    </row>
    <row r="654" spans="3:43" x14ac:dyDescent="0.25">
      <c r="AC654" s="329" t="s">
        <v>911</v>
      </c>
      <c r="AD654" s="329">
        <f>'4.1_Electricidad Illes Balears'!G34</f>
        <v>0</v>
      </c>
      <c r="AE654" s="347">
        <f>'4.1_Electricidad Illes Balears'!H34</f>
        <v>0</v>
      </c>
      <c r="AF654" s="330">
        <f t="shared" si="74"/>
        <v>0</v>
      </c>
      <c r="AG654" s="330">
        <f t="shared" si="75"/>
        <v>0</v>
      </c>
      <c r="AM654" s="351">
        <f>'6.1_Resultados Illes Balears'!H16</f>
        <v>0</v>
      </c>
      <c r="AN654" s="351">
        <f>'6.1_Resultados Illes Balears'!H17</f>
        <v>0</v>
      </c>
    </row>
    <row r="655" spans="3:43" x14ac:dyDescent="0.25">
      <c r="AC655" s="329" t="s">
        <v>912</v>
      </c>
      <c r="AD655" s="329">
        <f>'4.1_Electricidad Illes Balears'!G35</f>
        <v>0</v>
      </c>
      <c r="AE655" s="347">
        <f>'4.1_Electricidad Illes Balears'!H35</f>
        <v>0</v>
      </c>
      <c r="AF655" s="330">
        <f t="shared" si="74"/>
        <v>0</v>
      </c>
      <c r="AG655" s="330">
        <f t="shared" si="75"/>
        <v>0</v>
      </c>
    </row>
    <row r="656" spans="3:43" x14ac:dyDescent="0.25">
      <c r="C656" s="265" t="s">
        <v>913</v>
      </c>
      <c r="D656" s="265">
        <v>1</v>
      </c>
      <c r="AC656" s="329" t="s">
        <v>914</v>
      </c>
      <c r="AD656" s="329">
        <f>'4.1_Electricidad Illes Balears'!G36</f>
        <v>0</v>
      </c>
      <c r="AE656" s="347">
        <f>'4.1_Electricidad Illes Balears'!H36</f>
        <v>0</v>
      </c>
      <c r="AF656" s="330">
        <f t="shared" si="74"/>
        <v>0</v>
      </c>
      <c r="AG656" s="330">
        <f t="shared" si="75"/>
        <v>0</v>
      </c>
      <c r="AL656" t="s">
        <v>848</v>
      </c>
    </row>
    <row r="657" spans="2:44" x14ac:dyDescent="0.25">
      <c r="C657" s="265" t="s">
        <v>111</v>
      </c>
      <c r="D657" s="265">
        <v>25</v>
      </c>
      <c r="F657" t="s">
        <v>71</v>
      </c>
      <c r="AC657" s="329" t="s">
        <v>915</v>
      </c>
      <c r="AD657" s="329">
        <f>'4.1_Electricidad Illes Balears'!G37</f>
        <v>0</v>
      </c>
      <c r="AE657" s="347">
        <f>'4.1_Electricidad Illes Balears'!H37</f>
        <v>0</v>
      </c>
      <c r="AF657" s="330">
        <f t="shared" si="74"/>
        <v>0</v>
      </c>
      <c r="AG657" s="330">
        <f t="shared" si="75"/>
        <v>0</v>
      </c>
      <c r="AL657" s="265" t="s">
        <v>916</v>
      </c>
      <c r="AM657" s="265" t="s">
        <v>849</v>
      </c>
      <c r="AN657" s="265" t="s">
        <v>850</v>
      </c>
      <c r="AO657" s="265" t="s">
        <v>159</v>
      </c>
    </row>
    <row r="658" spans="2:44" x14ac:dyDescent="0.25">
      <c r="C658" s="265" t="s">
        <v>917</v>
      </c>
      <c r="D658" s="265">
        <v>298</v>
      </c>
      <c r="F658" t="s">
        <v>73</v>
      </c>
      <c r="AC658" s="329" t="s">
        <v>918</v>
      </c>
      <c r="AD658" s="329">
        <f>'4.1_Electricidad Illes Balears'!G38</f>
        <v>0</v>
      </c>
      <c r="AE658" s="347">
        <f>'4.1_Electricidad Illes Balears'!H38</f>
        <v>0</v>
      </c>
      <c r="AF658" s="330">
        <f t="shared" si="74"/>
        <v>0</v>
      </c>
      <c r="AG658" s="330">
        <f t="shared" si="75"/>
        <v>0</v>
      </c>
      <c r="AL658" s="306" t="e">
        <f>AL659/SUM(AL659:AO659)</f>
        <v>#DIV/0!</v>
      </c>
      <c r="AM658" s="306" t="e">
        <f>AM659/SUM(AL659:AO659)</f>
        <v>#DIV/0!</v>
      </c>
      <c r="AN658" s="306" t="e">
        <f>AN659/SUM(AL659:AO659)</f>
        <v>#DIV/0!</v>
      </c>
      <c r="AO658" s="306" t="e">
        <f>AO659/SUM(AL659:AO659)</f>
        <v>#DIV/0!</v>
      </c>
    </row>
    <row r="659" spans="2:44" x14ac:dyDescent="0.25">
      <c r="AC659" s="329" t="s">
        <v>919</v>
      </c>
      <c r="AD659" s="329">
        <f>'4.1_Electricidad Illes Balears'!G39</f>
        <v>0</v>
      </c>
      <c r="AE659" s="347">
        <f>'4.1_Electricidad Illes Balears'!H39</f>
        <v>0</v>
      </c>
      <c r="AF659" s="330">
        <f t="shared" si="74"/>
        <v>0</v>
      </c>
      <c r="AG659" s="330">
        <f t="shared" si="75"/>
        <v>0</v>
      </c>
      <c r="AL659" s="301">
        <f>'6.1_Resultados Illes Balears'!H26</f>
        <v>0</v>
      </c>
      <c r="AM659" s="301">
        <f>'6.1_Resultados Illes Balears'!H25</f>
        <v>0</v>
      </c>
      <c r="AN659" s="301">
        <f>'6.1_Resultados Illes Balears'!H24</f>
        <v>0</v>
      </c>
      <c r="AO659" s="301">
        <f>'6.1_Resultados Illes Balears'!H23</f>
        <v>0</v>
      </c>
    </row>
    <row r="660" spans="2:44" x14ac:dyDescent="0.25">
      <c r="AC660" s="329" t="s">
        <v>920</v>
      </c>
      <c r="AD660" s="329">
        <f>'4.1_Electricidad Illes Balears'!G40</f>
        <v>0</v>
      </c>
      <c r="AE660" s="347">
        <f>'4.1_Electricidad Illes Balears'!H40</f>
        <v>0</v>
      </c>
      <c r="AF660" s="330">
        <f t="shared" si="74"/>
        <v>0</v>
      </c>
      <c r="AG660" s="330">
        <f t="shared" si="75"/>
        <v>0</v>
      </c>
    </row>
    <row r="661" spans="2:44" x14ac:dyDescent="0.25">
      <c r="C661" s="393" t="s">
        <v>1016</v>
      </c>
      <c r="D661" s="393"/>
      <c r="E661" s="393"/>
      <c r="AC661" s="329" t="s">
        <v>921</v>
      </c>
      <c r="AD661" s="329">
        <f>'4.1_Electricidad Illes Balears'!G41</f>
        <v>0</v>
      </c>
      <c r="AE661" s="347">
        <f>'4.1_Electricidad Illes Balears'!H41</f>
        <v>0</v>
      </c>
      <c r="AF661" s="330">
        <f t="shared" ref="AF661:AF662" si="77">IF(AD661=$AC$636,$AD$636,IF(AD661=$AC$637,$AD$637,IF(AD661=$AC$638,$AD$638,0)))</f>
        <v>0</v>
      </c>
      <c r="AG661" s="330">
        <f t="shared" ref="AG661:AG662" si="78">AE661*AF661</f>
        <v>0</v>
      </c>
      <c r="AM661" s="265" t="str">
        <f>AM643</f>
        <v/>
      </c>
      <c r="AN661" s="265" t="str">
        <f>AN643</f>
        <v/>
      </c>
      <c r="AO661" s="265" t="str">
        <f>AO643</f>
        <v/>
      </c>
      <c r="AP661" s="265">
        <f>AP643</f>
        <v>2020</v>
      </c>
    </row>
    <row r="662" spans="2:44" x14ac:dyDescent="0.25">
      <c r="B662">
        <v>1</v>
      </c>
      <c r="C662" s="393" t="str">
        <f>IF('0_Datos generales organización'!H53="","",'0_Datos generales organización'!H53)</f>
        <v/>
      </c>
      <c r="D662" s="393" t="str">
        <f>IF(C662="","",IF('0_Datos generales organización'!J53="no","",Dades!C662))</f>
        <v/>
      </c>
      <c r="E662" s="393" t="str">
        <f>IFERROR(INDEX($D$662:$D$911,MATCH(0,INDEX(COUNTIF($E$661:E661,$D$662:$D$911),),)),"")</f>
        <v/>
      </c>
      <c r="AC662" s="329" t="s">
        <v>922</v>
      </c>
      <c r="AD662" s="329">
        <f>'4.1_Electricidad Illes Balears'!G42</f>
        <v>0</v>
      </c>
      <c r="AE662" s="347">
        <f>'4.1_Electricidad Illes Balears'!H42</f>
        <v>0</v>
      </c>
      <c r="AF662" s="330">
        <f t="shared" si="77"/>
        <v>0</v>
      </c>
      <c r="AG662" s="330">
        <f t="shared" si="78"/>
        <v>0</v>
      </c>
      <c r="AL662" s="265" t="s">
        <v>844</v>
      </c>
      <c r="AM662" s="307">
        <f>AM650</f>
        <v>0</v>
      </c>
      <c r="AN662" s="307">
        <f>AN650</f>
        <v>0</v>
      </c>
      <c r="AO662" s="307">
        <f>AO650</f>
        <v>0</v>
      </c>
      <c r="AP662" s="307">
        <f>AP650</f>
        <v>0</v>
      </c>
    </row>
    <row r="663" spans="2:44" x14ac:dyDescent="0.25">
      <c r="B663">
        <v>2</v>
      </c>
      <c r="C663" s="393" t="str">
        <f>IF('0_Datos generales organización'!H54="","",'0_Datos generales organización'!H54)</f>
        <v/>
      </c>
      <c r="D663" s="393" t="str">
        <f>IF(C663="","",IF('0_Datos generales organización'!J54="no","",Dades!C663))</f>
        <v/>
      </c>
      <c r="E663" s="393" t="str">
        <f>IFERROR(INDEX($D$662:$D$911,MATCH(0,INDEX(COUNTIF($E$661:E662,$D$662:$D$911),),)),"")</f>
        <v/>
      </c>
      <c r="AL663" s="265" t="s">
        <v>851</v>
      </c>
      <c r="AM663" s="308" t="e">
        <f>ROUND((AM662/AM644),4)</f>
        <v>#DIV/0!</v>
      </c>
      <c r="AN663" s="308" t="e">
        <f>ROUND((AN662/AN644),4)</f>
        <v>#DIV/0!</v>
      </c>
      <c r="AO663" s="308" t="e">
        <f>ROUND((AO662/AO644),4)</f>
        <v>#DIV/0!</v>
      </c>
      <c r="AP663" s="308" t="e">
        <f>ROUND((AP662/AP644),4)</f>
        <v>#DIV/0!</v>
      </c>
      <c r="AQ663" s="302" t="s">
        <v>852</v>
      </c>
    </row>
    <row r="664" spans="2:44" x14ac:dyDescent="0.25">
      <c r="B664">
        <v>3</v>
      </c>
      <c r="C664" s="393" t="str">
        <f>IF('0_Datos generales organización'!H55="","",'0_Datos generales organización'!H55)</f>
        <v/>
      </c>
      <c r="D664" s="393" t="str">
        <f>IF(C664="","",IF('0_Datos generales organización'!J55="no","",Dades!C664))</f>
        <v/>
      </c>
      <c r="E664" s="393" t="str">
        <f>IFERROR(INDEX($D$662:$D$911,MATCH(0,INDEX(COUNTIF($E$661:E663,$D$662:$D$911),),)),"")</f>
        <v/>
      </c>
      <c r="AC664" s="329" t="s">
        <v>923</v>
      </c>
      <c r="AD664" s="329">
        <f>'4.1_Electricidad Illes Balears'!H51</f>
        <v>0</v>
      </c>
      <c r="AE664" s="347">
        <f>'4.1_Electricidad Illes Balears'!I51</f>
        <v>0</v>
      </c>
      <c r="AF664" s="330">
        <f t="shared" ref="AF664" si="79">IF(AD664=$AC$636,$AD$636,IF(AD664=$AC$637,$AD$637,IF(AD664=$AC$638,$AD$638,0)))</f>
        <v>0</v>
      </c>
      <c r="AG664" s="330">
        <f t="shared" ref="AG664" si="80">AE664*AF664</f>
        <v>0</v>
      </c>
      <c r="AH664" s="329">
        <f>SUM(AG664:AG683)</f>
        <v>0</v>
      </c>
      <c r="AL664" s="265" t="s">
        <v>853</v>
      </c>
      <c r="AM664" s="309" t="e">
        <f>ROUND((AM662/AM645),4)</f>
        <v>#DIV/0!</v>
      </c>
      <c r="AN664" s="309" t="e">
        <f>ROUND((AN662/AN645),4)</f>
        <v>#DIV/0!</v>
      </c>
      <c r="AO664" s="309" t="e">
        <f>ROUND((AO662/AO645),4)</f>
        <v>#DIV/0!</v>
      </c>
      <c r="AP664" s="309" t="e">
        <f>ROUND((AP662/AP645),4)</f>
        <v>#DIV/0!</v>
      </c>
      <c r="AQ664" s="302" t="s">
        <v>852</v>
      </c>
    </row>
    <row r="665" spans="2:44" x14ac:dyDescent="0.25">
      <c r="B665">
        <v>4</v>
      </c>
      <c r="C665" s="393" t="str">
        <f>IF('0_Datos generales organización'!H56="","",'0_Datos generales organización'!H56)</f>
        <v/>
      </c>
      <c r="D665" s="393" t="str">
        <f>IF(C665="","",IF('0_Datos generales organización'!J56="no","",Dades!C665))</f>
        <v/>
      </c>
      <c r="E665" s="393" t="str">
        <f>IFERROR(INDEX($D$662:$D$911,MATCH(0,INDEX(COUNTIF($E$661:E664,$D$662:$D$911),),)),"")</f>
        <v/>
      </c>
      <c r="AC665" s="329" t="s">
        <v>924</v>
      </c>
      <c r="AD665" s="329">
        <f>'4.1_Electricidad Illes Balears'!H52</f>
        <v>0</v>
      </c>
      <c r="AE665" s="347">
        <f>'4.1_Electricidad Illes Balears'!I52</f>
        <v>0</v>
      </c>
      <c r="AF665" s="330">
        <f t="shared" ref="AF665:AF683" si="81">IF(AD665=$AC$636,$AD$636,IF(AD665=$AC$637,$AD$637,IF(AD665=$AC$638,$AD$638,0)))</f>
        <v>0</v>
      </c>
      <c r="AG665" s="330">
        <f t="shared" ref="AG665:AG683" si="82">AE665*AF665</f>
        <v>0</v>
      </c>
      <c r="AL665" s="265" t="s">
        <v>854</v>
      </c>
      <c r="AM665" s="309" t="e">
        <f>ROUND((AM662/AM646),4)</f>
        <v>#DIV/0!</v>
      </c>
      <c r="AN665" s="309" t="e">
        <f>ROUND((AN662/AN646),4)</f>
        <v>#DIV/0!</v>
      </c>
      <c r="AO665" s="309" t="e">
        <f>ROUND((AO662/AO646),4)</f>
        <v>#DIV/0!</v>
      </c>
      <c r="AP665" s="309" t="e">
        <f>ROUND((AP662/AP646),4)</f>
        <v>#DIV/0!</v>
      </c>
      <c r="AQ665" s="302" t="s">
        <v>852</v>
      </c>
    </row>
    <row r="666" spans="2:44" x14ac:dyDescent="0.25">
      <c r="B666">
        <v>5</v>
      </c>
      <c r="C666" s="393" t="str">
        <f>IF('0_Datos generales organización'!H57="","",'0_Datos generales organización'!H57)</f>
        <v/>
      </c>
      <c r="D666" s="393" t="str">
        <f>IF(C666="","",IF('0_Datos generales organización'!J57="no","",Dades!C666))</f>
        <v/>
      </c>
      <c r="E666" s="393" t="str">
        <f>IFERROR(INDEX($D$662:$D$911,MATCH(0,INDEX(COUNTIF($E$661:E665,$D$662:$D$911),),)),"")</f>
        <v/>
      </c>
      <c r="AC666" s="329" t="s">
        <v>925</v>
      </c>
      <c r="AD666" s="329">
        <f>'4.1_Electricidad Illes Balears'!H53</f>
        <v>0</v>
      </c>
      <c r="AE666" s="347">
        <f>'4.1_Electricidad Illes Balears'!I53</f>
        <v>0</v>
      </c>
      <c r="AF666" s="330">
        <f t="shared" si="81"/>
        <v>0</v>
      </c>
      <c r="AG666" s="330">
        <f t="shared" si="82"/>
        <v>0</v>
      </c>
    </row>
    <row r="667" spans="2:44" x14ac:dyDescent="0.25">
      <c r="B667">
        <v>6</v>
      </c>
      <c r="C667" s="393" t="str">
        <f>IF('0_Datos generales organización'!H58="","",'0_Datos generales organización'!H58)</f>
        <v/>
      </c>
      <c r="D667" s="393" t="str">
        <f>IF(C667="","",IF('0_Datos generales organización'!J58="no","",Dades!C667))</f>
        <v/>
      </c>
      <c r="E667" s="393" t="str">
        <f>IFERROR(INDEX($D$662:$D$911,MATCH(0,INDEX(COUNTIF($E$661:E666,$D$662:$D$911),),)),"")</f>
        <v/>
      </c>
      <c r="AC667" s="329" t="s">
        <v>926</v>
      </c>
      <c r="AD667" s="329">
        <f>'4.1_Electricidad Illes Balears'!H54</f>
        <v>0</v>
      </c>
      <c r="AE667" s="347">
        <f>'4.1_Electricidad Illes Balears'!I54</f>
        <v>0</v>
      </c>
      <c r="AF667" s="330">
        <f t="shared" si="81"/>
        <v>0</v>
      </c>
      <c r="AG667" s="330">
        <f t="shared" si="82"/>
        <v>0</v>
      </c>
      <c r="AL667" t="s">
        <v>855</v>
      </c>
    </row>
    <row r="668" spans="2:44" x14ac:dyDescent="0.25">
      <c r="B668">
        <v>7</v>
      </c>
      <c r="C668" s="393" t="str">
        <f>IF('0_Datos generales organización'!H59="","",'0_Datos generales organización'!H59)</f>
        <v/>
      </c>
      <c r="D668" s="393" t="str">
        <f>IF(C668="","",IF('0_Datos generales organización'!J59="no","",Dades!C668))</f>
        <v/>
      </c>
      <c r="E668" s="393" t="str">
        <f>IFERROR(INDEX($D$662:$D$911,MATCH(0,INDEX(COUNTIF($E$661:E667,$D$662:$D$911),),)),"")</f>
        <v/>
      </c>
      <c r="AC668" s="329" t="s">
        <v>927</v>
      </c>
      <c r="AD668" s="329">
        <f>'4.1_Electricidad Illes Balears'!H55</f>
        <v>0</v>
      </c>
      <c r="AE668" s="347">
        <f>'4.1_Electricidad Illes Balears'!I55</f>
        <v>0</v>
      </c>
      <c r="AF668" s="330">
        <f t="shared" si="81"/>
        <v>0</v>
      </c>
      <c r="AG668" s="330">
        <f t="shared" si="82"/>
        <v>0</v>
      </c>
      <c r="AL668" s="265" t="s">
        <v>856</v>
      </c>
      <c r="AM668" s="308">
        <v>0.42880000000000001</v>
      </c>
      <c r="AO668" t="str">
        <f>IF(ISNUMBER(AM671),"Se cumple la condición de reducción","No se cumple la condición de reducción")</f>
        <v>No se cumple la condición de reducción</v>
      </c>
    </row>
    <row r="669" spans="2:44" x14ac:dyDescent="0.25">
      <c r="B669">
        <v>8</v>
      </c>
      <c r="C669" s="393" t="str">
        <f>IF('0_Datos generales organización'!H60="","",'0_Datos generales organización'!H60)</f>
        <v/>
      </c>
      <c r="D669" s="393" t="str">
        <f>IF(C669="","",IF('0_Datos generales organización'!J60="no","",Dades!C669))</f>
        <v/>
      </c>
      <c r="E669" s="393" t="str">
        <f>IFERROR(INDEX($D$662:$D$911,MATCH(0,INDEX(COUNTIF($E$661:E668,$D$662:$D$911),),)),"")</f>
        <v/>
      </c>
      <c r="AC669" s="329" t="s">
        <v>928</v>
      </c>
      <c r="AD669" s="329">
        <f>'4.1_Electricidad Illes Balears'!H56</f>
        <v>0</v>
      </c>
      <c r="AE669" s="347">
        <f>'4.1_Electricidad Illes Balears'!I56</f>
        <v>0</v>
      </c>
      <c r="AF669" s="330">
        <f t="shared" si="81"/>
        <v>0</v>
      </c>
      <c r="AG669" s="330">
        <f t="shared" si="82"/>
        <v>0</v>
      </c>
      <c r="AL669" s="265" t="s">
        <v>857</v>
      </c>
      <c r="AM669" s="265">
        <v>0.79979999999999996</v>
      </c>
      <c r="AO669" t="str">
        <f>IF(ISNUMBER(AM671),"Reducción de","Incremento de")</f>
        <v>Incremento de</v>
      </c>
      <c r="AQ669" s="310">
        <f>IF(ISNUMBER(AM670),AM670,AM671)</f>
        <v>0.86519999999999997</v>
      </c>
      <c r="AR669" s="302" t="s">
        <v>852</v>
      </c>
    </row>
    <row r="670" spans="2:44" x14ac:dyDescent="0.25">
      <c r="B670">
        <v>9</v>
      </c>
      <c r="C670" s="393" t="str">
        <f>IF('0_Datos generales organización'!H61="","",'0_Datos generales organización'!H61)</f>
        <v/>
      </c>
      <c r="D670" s="393" t="str">
        <f>IF(C670="","",IF('0_Datos generales organización'!J61="no","",Dades!C670))</f>
        <v/>
      </c>
      <c r="E670" s="393" t="str">
        <f>IFERROR(INDEX($D$662:$D$911,MATCH(0,INDEX(COUNTIF($E$661:E669,$D$662:$D$911),),)),"")</f>
        <v/>
      </c>
      <c r="AC670" s="329" t="s">
        <v>929</v>
      </c>
      <c r="AD670" s="329">
        <f>'4.1_Electricidad Illes Balears'!H57</f>
        <v>0</v>
      </c>
      <c r="AE670" s="347">
        <f>'4.1_Electricidad Illes Balears'!I57</f>
        <v>0</v>
      </c>
      <c r="AF670" s="330">
        <f t="shared" si="81"/>
        <v>0</v>
      </c>
      <c r="AG670" s="330">
        <f t="shared" si="82"/>
        <v>0</v>
      </c>
      <c r="AL670" s="311" t="s">
        <v>858</v>
      </c>
      <c r="AM670" s="312">
        <f>IF(AM669-AM668&gt;0,ROUND((AM669-AM668)/AM668,4),"")</f>
        <v>0.86519999999999997</v>
      </c>
      <c r="AO670" s="313">
        <f>AM669-AM668</f>
        <v>0.37099999999999994</v>
      </c>
      <c r="AR670" s="302" t="s">
        <v>852</v>
      </c>
    </row>
    <row r="671" spans="2:44" x14ac:dyDescent="0.25">
      <c r="B671">
        <v>10</v>
      </c>
      <c r="C671" s="393" t="str">
        <f>IF('0_Datos generales organización'!H62="","",'0_Datos generales organización'!H62)</f>
        <v/>
      </c>
      <c r="D671" s="393" t="str">
        <f>IF(C671="","",IF('0_Datos generales organización'!J62="no","",Dades!C671))</f>
        <v/>
      </c>
      <c r="E671" s="393" t="str">
        <f>IFERROR(INDEX($D$662:$D$911,MATCH(0,INDEX(COUNTIF($E$661:E670,$D$662:$D$911),),)),"")</f>
        <v/>
      </c>
      <c r="AC671" s="329" t="s">
        <v>930</v>
      </c>
      <c r="AD671" s="329">
        <f>'4.1_Electricidad Illes Balears'!H58</f>
        <v>0</v>
      </c>
      <c r="AE671" s="347">
        <f>'4.1_Electricidad Illes Balears'!I58</f>
        <v>0</v>
      </c>
      <c r="AF671" s="330">
        <f t="shared" si="81"/>
        <v>0</v>
      </c>
      <c r="AG671" s="330">
        <f t="shared" si="82"/>
        <v>0</v>
      </c>
      <c r="AL671" s="314" t="s">
        <v>859</v>
      </c>
      <c r="AM671" s="315" t="str">
        <f>IF(AM668-AM669&gt;0,ROUND((AM668-AM669)/AM668,4),"")</f>
        <v/>
      </c>
    </row>
    <row r="672" spans="2:44" x14ac:dyDescent="0.25">
      <c r="B672">
        <v>11</v>
      </c>
      <c r="C672" s="393" t="str">
        <f>IF('0_Datos generales organización'!H63="","",'0_Datos generales organización'!H63)</f>
        <v/>
      </c>
      <c r="D672" s="393" t="str">
        <f>IF(C672="","",IF('0_Datos generales organización'!J63="no","",Dades!C672))</f>
        <v/>
      </c>
      <c r="E672" s="393" t="str">
        <f>IFERROR(INDEX($D$662:$D$911,MATCH(0,INDEX(COUNTIF($E$661:E671,$D$662:$D$911),),)),"")</f>
        <v/>
      </c>
      <c r="AC672" s="329" t="s">
        <v>931</v>
      </c>
      <c r="AD672" s="329">
        <f>'4.1_Electricidad Illes Balears'!H59</f>
        <v>0</v>
      </c>
      <c r="AE672" s="347">
        <f>'4.1_Electricidad Illes Balears'!I59</f>
        <v>0</v>
      </c>
      <c r="AF672" s="330">
        <f t="shared" si="81"/>
        <v>0</v>
      </c>
      <c r="AG672" s="330">
        <f t="shared" si="82"/>
        <v>0</v>
      </c>
    </row>
    <row r="673" spans="2:34" x14ac:dyDescent="0.25">
      <c r="B673">
        <v>12</v>
      </c>
      <c r="C673" s="393" t="str">
        <f>IF('0_Datos generales organización'!H64="","",'0_Datos generales organización'!H64)</f>
        <v/>
      </c>
      <c r="D673" s="393" t="str">
        <f>IF(C673="","",IF('0_Datos generales organización'!J64="no","",Dades!C673))</f>
        <v/>
      </c>
      <c r="E673" s="393" t="str">
        <f>IFERROR(INDEX($D$662:$D$911,MATCH(0,INDEX(COUNTIF($E$661:E672,$D$662:$D$911),),)),"")</f>
        <v/>
      </c>
      <c r="AC673" s="329" t="s">
        <v>932</v>
      </c>
      <c r="AD673" s="329">
        <f>'4.1_Electricidad Illes Balears'!H60</f>
        <v>0</v>
      </c>
      <c r="AE673" s="347">
        <f>'4.1_Electricidad Illes Balears'!I60</f>
        <v>0</v>
      </c>
      <c r="AF673" s="330">
        <f t="shared" si="81"/>
        <v>0</v>
      </c>
      <c r="AG673" s="330">
        <f t="shared" si="82"/>
        <v>0</v>
      </c>
    </row>
    <row r="674" spans="2:34" x14ac:dyDescent="0.25">
      <c r="B674">
        <v>13</v>
      </c>
      <c r="C674" s="393" t="str">
        <f>IF('0_Datos generales organización'!H65="","",'0_Datos generales organización'!H65)</f>
        <v/>
      </c>
      <c r="D674" s="393" t="str">
        <f>IF(C674="","",IF('0_Datos generales organización'!J65="no","",Dades!C674))</f>
        <v/>
      </c>
      <c r="E674" s="393" t="str">
        <f>IFERROR(INDEX($D$662:$D$911,MATCH(0,INDEX(COUNTIF($E$661:E673,$D$662:$D$911),),)),"")</f>
        <v/>
      </c>
      <c r="AC674" s="329" t="s">
        <v>933</v>
      </c>
      <c r="AD674" s="329">
        <f>'4.1_Electricidad Illes Balears'!H61</f>
        <v>0</v>
      </c>
      <c r="AE674" s="347">
        <f>'4.1_Electricidad Illes Balears'!I61</f>
        <v>0</v>
      </c>
      <c r="AF674" s="330">
        <f t="shared" si="81"/>
        <v>0</v>
      </c>
      <c r="AG674" s="330">
        <f t="shared" si="82"/>
        <v>0</v>
      </c>
    </row>
    <row r="675" spans="2:34" x14ac:dyDescent="0.25">
      <c r="B675">
        <v>14</v>
      </c>
      <c r="C675" s="393" t="str">
        <f>IF('0_Datos generales organización'!H66="","",'0_Datos generales organización'!H66)</f>
        <v/>
      </c>
      <c r="D675" s="393" t="str">
        <f>IF(C675="","",IF('0_Datos generales organización'!J66="no","",Dades!C675))</f>
        <v/>
      </c>
      <c r="E675" s="393" t="str">
        <f>IFERROR(INDEX($D$662:$D$911,MATCH(0,INDEX(COUNTIF($E$661:E674,$D$662:$D$911),),)),"")</f>
        <v/>
      </c>
      <c r="AC675" s="329" t="s">
        <v>934</v>
      </c>
      <c r="AD675" s="329">
        <f>'4.1_Electricidad Illes Balears'!H62</f>
        <v>0</v>
      </c>
      <c r="AE675" s="347">
        <f>'4.1_Electricidad Illes Balears'!I62</f>
        <v>0</v>
      </c>
      <c r="AF675" s="330">
        <f t="shared" si="81"/>
        <v>0</v>
      </c>
      <c r="AG675" s="330">
        <f t="shared" si="82"/>
        <v>0</v>
      </c>
    </row>
    <row r="676" spans="2:34" x14ac:dyDescent="0.25">
      <c r="B676">
        <v>15</v>
      </c>
      <c r="C676" s="393" t="str">
        <f>IF('0_Datos generales organización'!H67="","",'0_Datos generales organización'!H67)</f>
        <v/>
      </c>
      <c r="D676" s="393" t="str">
        <f>IF(C676="","",IF('0_Datos generales organización'!J67="no","",Dades!C676))</f>
        <v/>
      </c>
      <c r="E676" s="393" t="str">
        <f>IFERROR(INDEX($D$662:$D$911,MATCH(0,INDEX(COUNTIF($E$661:E675,$D$662:$D$911),),)),"")</f>
        <v/>
      </c>
      <c r="AC676" s="329" t="s">
        <v>935</v>
      </c>
      <c r="AD676" s="329">
        <f>'4.1_Electricidad Illes Balears'!H63</f>
        <v>0</v>
      </c>
      <c r="AE676" s="347">
        <f>'4.1_Electricidad Illes Balears'!I63</f>
        <v>0</v>
      </c>
      <c r="AF676" s="330">
        <f t="shared" si="81"/>
        <v>0</v>
      </c>
      <c r="AG676" s="330">
        <f t="shared" si="82"/>
        <v>0</v>
      </c>
    </row>
    <row r="677" spans="2:34" x14ac:dyDescent="0.25">
      <c r="B677">
        <v>16</v>
      </c>
      <c r="C677" s="393" t="str">
        <f>IF('0_Datos generales organización'!H68="","",'0_Datos generales organización'!H68)</f>
        <v/>
      </c>
      <c r="D677" s="393" t="str">
        <f>IF(C677="","",IF('0_Datos generales organización'!J68="no","",Dades!C677))</f>
        <v/>
      </c>
      <c r="E677" s="393" t="str">
        <f>IFERROR(INDEX($D$662:$D$911,MATCH(0,INDEX(COUNTIF($E$661:E676,$D$662:$D$911),),)),"")</f>
        <v/>
      </c>
      <c r="AC677" s="329" t="s">
        <v>936</v>
      </c>
      <c r="AD677" s="329">
        <f>'4.1_Electricidad Illes Balears'!H64</f>
        <v>0</v>
      </c>
      <c r="AE677" s="347">
        <f>'4.1_Electricidad Illes Balears'!I64</f>
        <v>0</v>
      </c>
      <c r="AF677" s="330">
        <f t="shared" si="81"/>
        <v>0</v>
      </c>
      <c r="AG677" s="330">
        <f t="shared" si="82"/>
        <v>0</v>
      </c>
    </row>
    <row r="678" spans="2:34" x14ac:dyDescent="0.25">
      <c r="B678">
        <v>17</v>
      </c>
      <c r="C678" s="393" t="str">
        <f>IF('0_Datos generales organización'!H69="","",'0_Datos generales organización'!H69)</f>
        <v/>
      </c>
      <c r="D678" s="393" t="str">
        <f>IF(C678="","",IF('0_Datos generales organización'!J69="no","",Dades!C678))</f>
        <v/>
      </c>
      <c r="E678" s="393" t="str">
        <f>IFERROR(INDEX($D$662:$D$911,MATCH(0,INDEX(COUNTIF($E$661:E677,$D$662:$D$911),),)),"")</f>
        <v/>
      </c>
      <c r="AC678" s="329" t="s">
        <v>937</v>
      </c>
      <c r="AD678" s="329">
        <f>'4.1_Electricidad Illes Balears'!H65</f>
        <v>0</v>
      </c>
      <c r="AE678" s="347">
        <f>'4.1_Electricidad Illes Balears'!I65</f>
        <v>0</v>
      </c>
      <c r="AF678" s="330">
        <f t="shared" si="81"/>
        <v>0</v>
      </c>
      <c r="AG678" s="330">
        <f t="shared" si="82"/>
        <v>0</v>
      </c>
    </row>
    <row r="679" spans="2:34" x14ac:dyDescent="0.25">
      <c r="B679">
        <v>18</v>
      </c>
      <c r="C679" s="393" t="str">
        <f>IF('0_Datos generales organización'!H70="","",'0_Datos generales organización'!H70)</f>
        <v/>
      </c>
      <c r="D679" s="393" t="str">
        <f>IF(C679="","",IF('0_Datos generales organización'!J70="no","",Dades!C679))</f>
        <v/>
      </c>
      <c r="E679" s="393" t="str">
        <f>IFERROR(INDEX($D$662:$D$911,MATCH(0,INDEX(COUNTIF($E$661:E678,$D$662:$D$911),),)),"")</f>
        <v/>
      </c>
      <c r="AC679" s="329" t="s">
        <v>938</v>
      </c>
      <c r="AD679" s="329">
        <f>'4.1_Electricidad Illes Balears'!H66</f>
        <v>0</v>
      </c>
      <c r="AE679" s="347">
        <f>'4.1_Electricidad Illes Balears'!I66</f>
        <v>0</v>
      </c>
      <c r="AF679" s="330">
        <f t="shared" si="81"/>
        <v>0</v>
      </c>
      <c r="AG679" s="330">
        <f t="shared" si="82"/>
        <v>0</v>
      </c>
    </row>
    <row r="680" spans="2:34" x14ac:dyDescent="0.25">
      <c r="B680">
        <v>19</v>
      </c>
      <c r="C680" s="393" t="str">
        <f>IF('0_Datos generales organización'!H71="","",'0_Datos generales organización'!H71)</f>
        <v/>
      </c>
      <c r="D680" s="393" t="str">
        <f>IF(C680="","",IF('0_Datos generales organización'!J71="no","",Dades!C680))</f>
        <v/>
      </c>
      <c r="E680" s="393" t="str">
        <f>IFERROR(INDEX($D$662:$D$911,MATCH(0,INDEX(COUNTIF($E$661:E679,$D$662:$D$911),),)),"")</f>
        <v/>
      </c>
      <c r="AC680" s="329" t="s">
        <v>939</v>
      </c>
      <c r="AD680" s="329">
        <f>'4.1_Electricidad Illes Balears'!H67</f>
        <v>0</v>
      </c>
      <c r="AE680" s="347">
        <f>'4.1_Electricidad Illes Balears'!I67</f>
        <v>0</v>
      </c>
      <c r="AF680" s="330">
        <f t="shared" si="81"/>
        <v>0</v>
      </c>
      <c r="AG680" s="330">
        <f t="shared" si="82"/>
        <v>0</v>
      </c>
    </row>
    <row r="681" spans="2:34" x14ac:dyDescent="0.25">
      <c r="B681">
        <v>20</v>
      </c>
      <c r="C681" s="393" t="str">
        <f>IF('0_Datos generales organización'!H72="","",'0_Datos generales organización'!H72)</f>
        <v/>
      </c>
      <c r="D681" s="393" t="str">
        <f>IF(C681="","",IF('0_Datos generales organización'!J72="no","",Dades!C681))</f>
        <v/>
      </c>
      <c r="E681" s="393" t="str">
        <f>IFERROR(INDEX($D$662:$D$911,MATCH(0,INDEX(COUNTIF($E$661:E680,$D$662:$D$911),),)),"")</f>
        <v/>
      </c>
      <c r="AC681" s="329" t="s">
        <v>940</v>
      </c>
      <c r="AD681" s="329">
        <f>'4.1_Electricidad Illes Balears'!H68</f>
        <v>0</v>
      </c>
      <c r="AE681" s="347">
        <f>'4.1_Electricidad Illes Balears'!I68</f>
        <v>0</v>
      </c>
      <c r="AF681" s="330">
        <f t="shared" si="81"/>
        <v>0</v>
      </c>
      <c r="AG681" s="330">
        <f t="shared" si="82"/>
        <v>0</v>
      </c>
    </row>
    <row r="682" spans="2:34" x14ac:dyDescent="0.25">
      <c r="B682">
        <v>21</v>
      </c>
      <c r="C682" s="393" t="str">
        <f>IF('0_Datos generales organización'!H73="","",'0_Datos generales organización'!H73)</f>
        <v/>
      </c>
      <c r="D682" s="393" t="str">
        <f>IF(C682="","",IF('0_Datos generales organización'!J73="no","",Dades!C682))</f>
        <v/>
      </c>
      <c r="E682" s="393" t="str">
        <f>IFERROR(INDEX($D$662:$D$911,MATCH(0,INDEX(COUNTIF($E$661:E681,$D$662:$D$911),),)),"")</f>
        <v/>
      </c>
      <c r="AC682" s="329" t="s">
        <v>941</v>
      </c>
      <c r="AD682" s="329">
        <f>'4.1_Electricidad Illes Balears'!H69</f>
        <v>0</v>
      </c>
      <c r="AE682" s="347">
        <f>'4.1_Electricidad Illes Balears'!I69</f>
        <v>0</v>
      </c>
      <c r="AF682" s="330">
        <f t="shared" si="81"/>
        <v>0</v>
      </c>
      <c r="AG682" s="330">
        <f t="shared" si="82"/>
        <v>0</v>
      </c>
    </row>
    <row r="683" spans="2:34" x14ac:dyDescent="0.25">
      <c r="B683">
        <v>22</v>
      </c>
      <c r="C683" s="393" t="str">
        <f>IF('0_Datos generales organización'!H74="","",'0_Datos generales organización'!H74)</f>
        <v/>
      </c>
      <c r="D683" s="393" t="str">
        <f>IF(C683="","",IF('0_Datos generales organización'!J74="no","",Dades!C683))</f>
        <v/>
      </c>
      <c r="E683" s="393" t="str">
        <f>IFERROR(INDEX($D$662:$D$911,MATCH(0,INDEX(COUNTIF($E$661:E682,$D$662:$D$911),),)),"")</f>
        <v/>
      </c>
      <c r="AC683" s="329" t="s">
        <v>942</v>
      </c>
      <c r="AD683" s="329">
        <f>'4.1_Electricidad Illes Balears'!H70</f>
        <v>0</v>
      </c>
      <c r="AE683" s="347">
        <f>'4.1_Electricidad Illes Balears'!I70</f>
        <v>0</v>
      </c>
      <c r="AF683" s="330">
        <f t="shared" si="81"/>
        <v>0</v>
      </c>
      <c r="AG683" s="330">
        <f t="shared" si="82"/>
        <v>0</v>
      </c>
    </row>
    <row r="684" spans="2:34" x14ac:dyDescent="0.25">
      <c r="B684">
        <v>23</v>
      </c>
      <c r="C684" s="393" t="str">
        <f>IF('0_Datos generales organización'!H75="","",'0_Datos generales organización'!H75)</f>
        <v/>
      </c>
      <c r="D684" s="393" t="str">
        <f>IF(C684="","",IF('0_Datos generales organización'!J75="no","",Dades!C684))</f>
        <v/>
      </c>
      <c r="E684" s="393" t="str">
        <f>IFERROR(INDEX($D$662:$D$911,MATCH(0,INDEX(COUNTIF($E$661:E683,$D$662:$D$911),),)),"")</f>
        <v/>
      </c>
    </row>
    <row r="685" spans="2:34" x14ac:dyDescent="0.25">
      <c r="B685">
        <v>24</v>
      </c>
      <c r="C685" s="393" t="str">
        <f>IF('0_Datos generales organización'!H76="","",'0_Datos generales organización'!H76)</f>
        <v/>
      </c>
      <c r="D685" s="393" t="str">
        <f>IF(C685="","",IF('0_Datos generales organización'!J76="no","",Dades!C685))</f>
        <v/>
      </c>
      <c r="E685" s="393" t="str">
        <f>IFERROR(INDEX($D$662:$D$911,MATCH(0,INDEX(COUNTIF($E$661:E684,$D$662:$D$911),),)),"")</f>
        <v/>
      </c>
      <c r="AG685" s="330" t="s">
        <v>847</v>
      </c>
      <c r="AH685" s="329">
        <f>AH641+AH664</f>
        <v>0</v>
      </c>
    </row>
    <row r="686" spans="2:34" x14ac:dyDescent="0.25">
      <c r="B686">
        <v>25</v>
      </c>
      <c r="C686" s="393" t="str">
        <f>IF('0_Datos generales organización'!H77="","",'0_Datos generales organización'!H77)</f>
        <v/>
      </c>
      <c r="D686" s="393" t="str">
        <f>IF(C686="","",IF('0_Datos generales organización'!J77="no","",Dades!C686))</f>
        <v/>
      </c>
      <c r="E686" s="393" t="str">
        <f>IFERROR(INDEX($D$662:$D$911,MATCH(0,INDEX(COUNTIF($E$661:E685,$D$662:$D$911),),)),"")</f>
        <v/>
      </c>
    </row>
    <row r="687" spans="2:34" x14ac:dyDescent="0.25">
      <c r="B687">
        <v>26</v>
      </c>
      <c r="C687" s="393" t="str">
        <f>IF('0_Datos generales organización'!H78="","",'0_Datos generales organización'!H78)</f>
        <v/>
      </c>
      <c r="D687" s="393" t="str">
        <f>IF(C687="","",IF('0_Datos generales organización'!J78="no","",Dades!C687))</f>
        <v/>
      </c>
      <c r="E687" s="393" t="str">
        <f>IFERROR(INDEX($D$662:$D$911,MATCH(0,INDEX(COUNTIF($E$661:E686,$D$662:$D$911),),)),"")</f>
        <v/>
      </c>
    </row>
    <row r="688" spans="2:34" x14ac:dyDescent="0.25">
      <c r="B688">
        <v>27</v>
      </c>
      <c r="C688" s="393" t="str">
        <f>IF('0_Datos generales organización'!H79="","",'0_Datos generales organización'!H79)</f>
        <v/>
      </c>
      <c r="D688" s="393" t="str">
        <f>IF(C688="","",IF('0_Datos generales organización'!J79="no","",Dades!C688))</f>
        <v/>
      </c>
      <c r="E688" s="393" t="str">
        <f>IFERROR(INDEX($D$662:$D$911,MATCH(0,INDEX(COUNTIF($E$661:E687,$D$662:$D$911),),)),"")</f>
        <v/>
      </c>
    </row>
    <row r="689" spans="2:5" x14ac:dyDescent="0.25">
      <c r="B689">
        <v>28</v>
      </c>
      <c r="C689" s="393" t="str">
        <f>IF('0_Datos generales organización'!H80="","",'0_Datos generales organización'!H80)</f>
        <v/>
      </c>
      <c r="D689" s="393" t="str">
        <f>IF(C689="","",IF('0_Datos generales organización'!J80="no","",Dades!C689))</f>
        <v/>
      </c>
      <c r="E689" s="393" t="str">
        <f>IFERROR(INDEX($D$662:$D$911,MATCH(0,INDEX(COUNTIF($E$661:E688,$D$662:$D$911),),)),"")</f>
        <v/>
      </c>
    </row>
    <row r="690" spans="2:5" x14ac:dyDescent="0.25">
      <c r="B690">
        <v>29</v>
      </c>
      <c r="C690" s="393" t="str">
        <f>IF('0_Datos generales organización'!H81="","",'0_Datos generales organización'!H81)</f>
        <v/>
      </c>
      <c r="D690" s="393" t="str">
        <f>IF(C690="","",IF('0_Datos generales organización'!J81="no","",Dades!C690))</f>
        <v/>
      </c>
      <c r="E690" s="393" t="str">
        <f>IFERROR(INDEX($D$662:$D$911,MATCH(0,INDEX(COUNTIF($E$661:E689,$D$662:$D$911),),)),"")</f>
        <v/>
      </c>
    </row>
    <row r="691" spans="2:5" x14ac:dyDescent="0.25">
      <c r="B691">
        <v>30</v>
      </c>
      <c r="C691" s="393" t="str">
        <f>IF('0_Datos generales organización'!H82="","",'0_Datos generales organización'!H82)</f>
        <v/>
      </c>
      <c r="D691" s="393" t="str">
        <f>IF(C691="","",IF('0_Datos generales organización'!J82="no","",Dades!C691))</f>
        <v/>
      </c>
      <c r="E691" s="393" t="str">
        <f>IFERROR(INDEX($D$662:$D$911,MATCH(0,INDEX(COUNTIF($E$661:E690,$D$662:$D$911),),)),"")</f>
        <v/>
      </c>
    </row>
    <row r="692" spans="2:5" x14ac:dyDescent="0.25">
      <c r="B692">
        <v>31</v>
      </c>
      <c r="C692" s="393" t="str">
        <f>IF('0_Datos generales organización'!H83="","",'0_Datos generales organización'!H83)</f>
        <v/>
      </c>
      <c r="D692" s="393" t="str">
        <f>IF(C692="","",IF('0_Datos generales organización'!J83="no","",Dades!C692))</f>
        <v/>
      </c>
      <c r="E692" s="393" t="str">
        <f>IFERROR(INDEX($D$662:$D$911,MATCH(0,INDEX(COUNTIF($E$661:E691,$D$662:$D$911),),)),"")</f>
        <v/>
      </c>
    </row>
    <row r="693" spans="2:5" x14ac:dyDescent="0.25">
      <c r="B693">
        <v>32</v>
      </c>
      <c r="C693" s="393" t="str">
        <f>IF('0_Datos generales organización'!H84="","",'0_Datos generales organización'!H84)</f>
        <v/>
      </c>
      <c r="D693" s="393" t="str">
        <f>IF(C693="","",IF('0_Datos generales organización'!J84="no","",Dades!C693))</f>
        <v/>
      </c>
      <c r="E693" s="393" t="str">
        <f>IFERROR(INDEX($D$662:$D$911,MATCH(0,INDEX(COUNTIF($E$661:E692,$D$662:$D$911),),)),"")</f>
        <v/>
      </c>
    </row>
    <row r="694" spans="2:5" x14ac:dyDescent="0.25">
      <c r="B694">
        <v>33</v>
      </c>
      <c r="C694" s="393" t="str">
        <f>IF('0_Datos generales organización'!H85="","",'0_Datos generales organización'!H85)</f>
        <v/>
      </c>
      <c r="D694" s="393" t="str">
        <f>IF(C694="","",IF('0_Datos generales organización'!J85="no","",Dades!C694))</f>
        <v/>
      </c>
      <c r="E694" s="393" t="str">
        <f>IFERROR(INDEX($D$662:$D$911,MATCH(0,INDEX(COUNTIF($E$661:E693,$D$662:$D$911),),)),"")</f>
        <v/>
      </c>
    </row>
    <row r="695" spans="2:5" x14ac:dyDescent="0.25">
      <c r="B695">
        <v>34</v>
      </c>
      <c r="C695" s="393" t="str">
        <f>IF('0_Datos generales organización'!H86="","",'0_Datos generales organización'!H86)</f>
        <v/>
      </c>
      <c r="D695" s="393" t="str">
        <f>IF(C695="","",IF('0_Datos generales organización'!J86="no","",Dades!C695))</f>
        <v/>
      </c>
      <c r="E695" s="393" t="str">
        <f>IFERROR(INDEX($D$662:$D$911,MATCH(0,INDEX(COUNTIF($E$661:E694,$D$662:$D$911),),)),"")</f>
        <v/>
      </c>
    </row>
    <row r="696" spans="2:5" x14ac:dyDescent="0.25">
      <c r="B696">
        <v>35</v>
      </c>
      <c r="C696" s="393" t="str">
        <f>IF('0_Datos generales organización'!H87="","",'0_Datos generales organización'!H87)</f>
        <v/>
      </c>
      <c r="D696" s="393" t="str">
        <f>IF(C696="","",IF('0_Datos generales organización'!J87="no","",Dades!C696))</f>
        <v/>
      </c>
      <c r="E696" s="393" t="str">
        <f>IFERROR(INDEX($D$662:$D$911,MATCH(0,INDEX(COUNTIF($E$661:E695,$D$662:$D$911),),)),"")</f>
        <v/>
      </c>
    </row>
    <row r="697" spans="2:5" x14ac:dyDescent="0.25">
      <c r="B697">
        <v>36</v>
      </c>
      <c r="C697" s="393" t="str">
        <f>IF('0_Datos generales organización'!H88="","",'0_Datos generales organización'!H88)</f>
        <v/>
      </c>
      <c r="D697" s="393" t="str">
        <f>IF(C697="","",IF('0_Datos generales organización'!J88="no","",Dades!C697))</f>
        <v/>
      </c>
      <c r="E697" s="393" t="str">
        <f>IFERROR(INDEX($D$662:$D$911,MATCH(0,INDEX(COUNTIF($E$661:E696,$D$662:$D$911),),)),"")</f>
        <v/>
      </c>
    </row>
    <row r="698" spans="2:5" x14ac:dyDescent="0.25">
      <c r="B698">
        <v>37</v>
      </c>
      <c r="C698" s="393" t="str">
        <f>IF('0_Datos generales organización'!H89="","",'0_Datos generales organización'!H89)</f>
        <v/>
      </c>
      <c r="D698" s="393" t="str">
        <f>IF(C698="","",IF('0_Datos generales organización'!J89="no","",Dades!C698))</f>
        <v/>
      </c>
      <c r="E698" s="393" t="str">
        <f>IFERROR(INDEX($D$662:$D$911,MATCH(0,INDEX(COUNTIF($E$661:E697,$D$662:$D$911),),)),"")</f>
        <v/>
      </c>
    </row>
    <row r="699" spans="2:5" x14ac:dyDescent="0.25">
      <c r="B699">
        <v>38</v>
      </c>
      <c r="C699" s="393" t="str">
        <f>IF('0_Datos generales organización'!H90="","",'0_Datos generales organización'!H90)</f>
        <v/>
      </c>
      <c r="D699" s="393" t="str">
        <f>IF(C699="","",IF('0_Datos generales organización'!J90="no","",Dades!C699))</f>
        <v/>
      </c>
      <c r="E699" s="393" t="str">
        <f>IFERROR(INDEX($D$662:$D$911,MATCH(0,INDEX(COUNTIF($E$661:E698,$D$662:$D$911),),)),"")</f>
        <v/>
      </c>
    </row>
    <row r="700" spans="2:5" x14ac:dyDescent="0.25">
      <c r="B700">
        <v>39</v>
      </c>
      <c r="C700" s="393" t="str">
        <f>IF('0_Datos generales organización'!H91="","",'0_Datos generales organización'!H91)</f>
        <v/>
      </c>
      <c r="D700" s="393" t="str">
        <f>IF(C700="","",IF('0_Datos generales organización'!J91="no","",Dades!C700))</f>
        <v/>
      </c>
      <c r="E700" s="393" t="str">
        <f>IFERROR(INDEX($D$662:$D$911,MATCH(0,INDEX(COUNTIF($E$661:E699,$D$662:$D$911),),)),"")</f>
        <v/>
      </c>
    </row>
    <row r="701" spans="2:5" x14ac:dyDescent="0.25">
      <c r="B701">
        <v>40</v>
      </c>
      <c r="C701" s="393" t="str">
        <f>IF('0_Datos generales organización'!H92="","",'0_Datos generales organización'!H92)</f>
        <v/>
      </c>
      <c r="D701" s="393" t="str">
        <f>IF(C701="","",IF('0_Datos generales organización'!J92="no","",Dades!C701))</f>
        <v/>
      </c>
      <c r="E701" s="393" t="str">
        <f>IFERROR(INDEX($D$662:$D$911,MATCH(0,INDEX(COUNTIF($E$661:E700,$D$662:$D$911),),)),"")</f>
        <v/>
      </c>
    </row>
    <row r="702" spans="2:5" x14ac:dyDescent="0.25">
      <c r="B702">
        <v>41</v>
      </c>
      <c r="C702" s="393" t="str">
        <f>IF('0_Datos generales organización'!H93="","",'0_Datos generales organización'!H93)</f>
        <v/>
      </c>
      <c r="D702" s="393" t="str">
        <f>IF(C702="","",IF('0_Datos generales organización'!J93="no","",Dades!C702))</f>
        <v/>
      </c>
      <c r="E702" s="393" t="str">
        <f>IFERROR(INDEX($D$662:$D$911,MATCH(0,INDEX(COUNTIF($E$661:E701,$D$662:$D$911),),)),"")</f>
        <v/>
      </c>
    </row>
    <row r="703" spans="2:5" x14ac:dyDescent="0.25">
      <c r="B703">
        <v>42</v>
      </c>
      <c r="C703" s="393" t="str">
        <f>IF('0_Datos generales organización'!H94="","",'0_Datos generales organización'!H94)</f>
        <v/>
      </c>
      <c r="D703" s="393" t="str">
        <f>IF(C703="","",IF('0_Datos generales organización'!J94="no","",Dades!C703))</f>
        <v/>
      </c>
      <c r="E703" s="393" t="str">
        <f>IFERROR(INDEX($D$662:$D$911,MATCH(0,INDEX(COUNTIF($E$661:E702,$D$662:$D$911),),)),"")</f>
        <v/>
      </c>
    </row>
    <row r="704" spans="2:5" x14ac:dyDescent="0.25">
      <c r="B704">
        <v>43</v>
      </c>
      <c r="C704" s="393" t="str">
        <f>IF('0_Datos generales organización'!H95="","",'0_Datos generales organización'!H95)</f>
        <v/>
      </c>
      <c r="D704" s="393" t="str">
        <f>IF(C704="","",IF('0_Datos generales organización'!J95="no","",Dades!C704))</f>
        <v/>
      </c>
      <c r="E704" s="393" t="str">
        <f>IFERROR(INDEX($D$662:$D$911,MATCH(0,INDEX(COUNTIF($E$661:E703,$D$662:$D$911),),)),"")</f>
        <v/>
      </c>
    </row>
    <row r="705" spans="2:5" x14ac:dyDescent="0.25">
      <c r="B705">
        <v>44</v>
      </c>
      <c r="C705" s="393" t="str">
        <f>IF('0_Datos generales organización'!H96="","",'0_Datos generales organización'!H96)</f>
        <v/>
      </c>
      <c r="D705" s="393" t="str">
        <f>IF(C705="","",IF('0_Datos generales organización'!J96="no","",Dades!C705))</f>
        <v/>
      </c>
      <c r="E705" s="393" t="str">
        <f>IFERROR(INDEX($D$662:$D$911,MATCH(0,INDEX(COUNTIF($E$661:E704,$D$662:$D$911),),)),"")</f>
        <v/>
      </c>
    </row>
    <row r="706" spans="2:5" x14ac:dyDescent="0.25">
      <c r="B706">
        <v>45</v>
      </c>
      <c r="C706" s="393" t="str">
        <f>IF('0_Datos generales organización'!H97="","",'0_Datos generales organización'!H97)</f>
        <v/>
      </c>
      <c r="D706" s="393" t="str">
        <f>IF(C706="","",IF('0_Datos generales organización'!J97="no","",Dades!C706))</f>
        <v/>
      </c>
      <c r="E706" s="393" t="str">
        <f>IFERROR(INDEX($D$662:$D$911,MATCH(0,INDEX(COUNTIF($E$661:E705,$D$662:$D$911),),)),"")</f>
        <v/>
      </c>
    </row>
    <row r="707" spans="2:5" x14ac:dyDescent="0.25">
      <c r="B707">
        <v>46</v>
      </c>
      <c r="C707" s="393" t="str">
        <f>IF('0_Datos generales organización'!H98="","",'0_Datos generales organización'!H98)</f>
        <v/>
      </c>
      <c r="D707" s="393" t="str">
        <f>IF(C707="","",IF('0_Datos generales organización'!J98="no","",Dades!C707))</f>
        <v/>
      </c>
      <c r="E707" s="393" t="str">
        <f>IFERROR(INDEX($D$662:$D$911,MATCH(0,INDEX(COUNTIF($E$661:E706,$D$662:$D$911),),)),"")</f>
        <v/>
      </c>
    </row>
    <row r="708" spans="2:5" x14ac:dyDescent="0.25">
      <c r="B708">
        <v>47</v>
      </c>
      <c r="C708" s="393" t="str">
        <f>IF('0_Datos generales organización'!H99="","",'0_Datos generales organización'!H99)</f>
        <v/>
      </c>
      <c r="D708" s="393" t="str">
        <f>IF(C708="","",IF('0_Datos generales organización'!J99="no","",Dades!C708))</f>
        <v/>
      </c>
      <c r="E708" s="393" t="str">
        <f>IFERROR(INDEX($D$662:$D$911,MATCH(0,INDEX(COUNTIF($E$661:E707,$D$662:$D$911),),)),"")</f>
        <v/>
      </c>
    </row>
    <row r="709" spans="2:5" x14ac:dyDescent="0.25">
      <c r="B709">
        <v>48</v>
      </c>
      <c r="C709" s="393" t="str">
        <f>IF('0_Datos generales organización'!H100="","",'0_Datos generales organización'!H100)</f>
        <v/>
      </c>
      <c r="D709" s="393" t="str">
        <f>IF(C709="","",IF('0_Datos generales organización'!J100="no","",Dades!C709))</f>
        <v/>
      </c>
      <c r="E709" s="393" t="str">
        <f>IFERROR(INDEX($D$662:$D$911,MATCH(0,INDEX(COUNTIF($E$661:E708,$D$662:$D$911),),)),"")</f>
        <v/>
      </c>
    </row>
    <row r="710" spans="2:5" x14ac:dyDescent="0.25">
      <c r="B710">
        <v>49</v>
      </c>
      <c r="C710" s="393" t="str">
        <f>IF('0_Datos generales organización'!H101="","",'0_Datos generales organización'!H101)</f>
        <v/>
      </c>
      <c r="D710" s="393" t="str">
        <f>IF(C710="","",IF('0_Datos generales organización'!J101="no","",Dades!C710))</f>
        <v/>
      </c>
      <c r="E710" s="393" t="str">
        <f>IFERROR(INDEX($D$662:$D$911,MATCH(0,INDEX(COUNTIF($E$661:E709,$D$662:$D$911),),)),"")</f>
        <v/>
      </c>
    </row>
    <row r="711" spans="2:5" x14ac:dyDescent="0.25">
      <c r="B711">
        <v>50</v>
      </c>
      <c r="C711" s="393" t="str">
        <f>IF('0_Datos generales organización'!H102="","",'0_Datos generales organización'!H102)</f>
        <v/>
      </c>
      <c r="D711" s="393" t="str">
        <f>IF(C711="","",IF('0_Datos generales organización'!J102="no","",Dades!C711))</f>
        <v/>
      </c>
      <c r="E711" s="393" t="str">
        <f>IFERROR(INDEX($D$662:$D$911,MATCH(0,INDEX(COUNTIF($E$661:E710,$D$662:$D$911),),)),"")</f>
        <v/>
      </c>
    </row>
    <row r="712" spans="2:5" x14ac:dyDescent="0.25">
      <c r="B712">
        <v>51</v>
      </c>
      <c r="C712" s="393" t="str">
        <f>IF('0_Datos generales organización'!H103="","",'0_Datos generales organización'!H103)</f>
        <v/>
      </c>
      <c r="D712" s="393" t="str">
        <f>IF(C712="","",IF('0_Datos generales organización'!J103="no","",Dades!C712))</f>
        <v/>
      </c>
      <c r="E712" s="393" t="str">
        <f>IFERROR(INDEX($D$662:$D$911,MATCH(0,INDEX(COUNTIF($E$661:E711,$D$662:$D$911),),)),"")</f>
        <v/>
      </c>
    </row>
    <row r="713" spans="2:5" x14ac:dyDescent="0.25">
      <c r="B713">
        <v>52</v>
      </c>
      <c r="C713" s="393" t="str">
        <f>IF('0_Datos generales organización'!H104="","",'0_Datos generales organización'!H104)</f>
        <v/>
      </c>
      <c r="D713" s="393" t="str">
        <f>IF(C713="","",IF('0_Datos generales organización'!J104="no","",Dades!C713))</f>
        <v/>
      </c>
      <c r="E713" s="393" t="str">
        <f>IFERROR(INDEX($D$662:$D$911,MATCH(0,INDEX(COUNTIF($E$661:E712,$D$662:$D$911),),)),"")</f>
        <v/>
      </c>
    </row>
    <row r="714" spans="2:5" x14ac:dyDescent="0.25">
      <c r="B714">
        <v>53</v>
      </c>
      <c r="C714" s="393" t="str">
        <f>IF('0_Datos generales organización'!H105="","",'0_Datos generales organización'!H105)</f>
        <v/>
      </c>
      <c r="D714" s="393" t="str">
        <f>IF(C714="","",IF('0_Datos generales organización'!J105="no","",Dades!C714))</f>
        <v/>
      </c>
      <c r="E714" s="393" t="str">
        <f>IFERROR(INDEX($D$662:$D$911,MATCH(0,INDEX(COUNTIF($E$661:E713,$D$662:$D$911),),)),"")</f>
        <v/>
      </c>
    </row>
    <row r="715" spans="2:5" x14ac:dyDescent="0.25">
      <c r="B715">
        <v>54</v>
      </c>
      <c r="C715" s="393" t="str">
        <f>IF('0_Datos generales organización'!H106="","",'0_Datos generales organización'!H106)</f>
        <v/>
      </c>
      <c r="D715" s="393" t="str">
        <f>IF(C715="","",IF('0_Datos generales organización'!J106="no","",Dades!C715))</f>
        <v/>
      </c>
      <c r="E715" s="393" t="str">
        <f>IFERROR(INDEX($D$662:$D$911,MATCH(0,INDEX(COUNTIF($E$661:E714,$D$662:$D$911),),)),"")</f>
        <v/>
      </c>
    </row>
    <row r="716" spans="2:5" x14ac:dyDescent="0.25">
      <c r="B716">
        <v>55</v>
      </c>
      <c r="C716" s="393" t="str">
        <f>IF('0_Datos generales organización'!H107="","",'0_Datos generales organización'!H107)</f>
        <v/>
      </c>
      <c r="D716" s="393" t="str">
        <f>IF(C716="","",IF('0_Datos generales organización'!J107="no","",Dades!C716))</f>
        <v/>
      </c>
      <c r="E716" s="393" t="str">
        <f>IFERROR(INDEX($D$662:$D$911,MATCH(0,INDEX(COUNTIF($E$661:E715,$D$662:$D$911),),)),"")</f>
        <v/>
      </c>
    </row>
    <row r="717" spans="2:5" x14ac:dyDescent="0.25">
      <c r="B717">
        <v>56</v>
      </c>
      <c r="C717" s="393" t="str">
        <f>IF('0_Datos generales organización'!H108="","",'0_Datos generales organización'!H108)</f>
        <v/>
      </c>
      <c r="D717" s="393" t="str">
        <f>IF(C717="","",IF('0_Datos generales organización'!J108="no","",Dades!C717))</f>
        <v/>
      </c>
      <c r="E717" s="393" t="str">
        <f>IFERROR(INDEX($D$662:$D$911,MATCH(0,INDEX(COUNTIF($E$661:E716,$D$662:$D$911),),)),"")</f>
        <v/>
      </c>
    </row>
    <row r="718" spans="2:5" x14ac:dyDescent="0.25">
      <c r="B718">
        <v>57</v>
      </c>
      <c r="C718" s="393" t="str">
        <f>IF('0_Datos generales organización'!H109="","",'0_Datos generales organización'!H109)</f>
        <v/>
      </c>
      <c r="D718" s="393" t="str">
        <f>IF(C718="","",IF('0_Datos generales organización'!J109="no","",Dades!C718))</f>
        <v/>
      </c>
      <c r="E718" s="393" t="str">
        <f>IFERROR(INDEX($D$662:$D$911,MATCH(0,INDEX(COUNTIF($E$661:E717,$D$662:$D$911),),)),"")</f>
        <v/>
      </c>
    </row>
    <row r="719" spans="2:5" x14ac:dyDescent="0.25">
      <c r="B719">
        <v>58</v>
      </c>
      <c r="C719" s="393" t="str">
        <f>IF('0_Datos generales organización'!H110="","",'0_Datos generales organización'!H110)</f>
        <v/>
      </c>
      <c r="D719" s="393" t="str">
        <f>IF(C719="","",IF('0_Datos generales organización'!J110="no","",Dades!C719))</f>
        <v/>
      </c>
      <c r="E719" s="393" t="str">
        <f>IFERROR(INDEX($D$662:$D$911,MATCH(0,INDEX(COUNTIF($E$661:E718,$D$662:$D$911),),)),"")</f>
        <v/>
      </c>
    </row>
    <row r="720" spans="2:5" x14ac:dyDescent="0.25">
      <c r="B720">
        <v>59</v>
      </c>
      <c r="C720" s="393" t="str">
        <f>IF('0_Datos generales organización'!H111="","",'0_Datos generales organización'!H111)</f>
        <v/>
      </c>
      <c r="D720" s="393" t="str">
        <f>IF(C720="","",IF('0_Datos generales organización'!J111="no","",Dades!C720))</f>
        <v/>
      </c>
      <c r="E720" s="393" t="str">
        <f>IFERROR(INDEX($D$662:$D$911,MATCH(0,INDEX(COUNTIF($E$661:E719,$D$662:$D$911),),)),"")</f>
        <v/>
      </c>
    </row>
    <row r="721" spans="2:5" x14ac:dyDescent="0.25">
      <c r="B721">
        <v>60</v>
      </c>
      <c r="C721" s="393" t="str">
        <f>IF('0_Datos generales organización'!H112="","",'0_Datos generales organización'!H112)</f>
        <v/>
      </c>
      <c r="D721" s="393" t="str">
        <f>IF(C721="","",IF('0_Datos generales organización'!J112="no","",Dades!C721))</f>
        <v/>
      </c>
      <c r="E721" s="393" t="str">
        <f>IFERROR(INDEX($D$662:$D$911,MATCH(0,INDEX(COUNTIF($E$661:E720,$D$662:$D$911),),)),"")</f>
        <v/>
      </c>
    </row>
    <row r="722" spans="2:5" x14ac:dyDescent="0.25">
      <c r="B722">
        <v>61</v>
      </c>
      <c r="C722" s="393" t="str">
        <f>IF('0_Datos generales organización'!H113="","",'0_Datos generales organización'!H113)</f>
        <v/>
      </c>
      <c r="D722" s="393" t="str">
        <f>IF(C722="","",IF('0_Datos generales organización'!J113="no","",Dades!C722))</f>
        <v/>
      </c>
      <c r="E722" s="393" t="str">
        <f>IFERROR(INDEX($D$662:$D$911,MATCH(0,INDEX(COUNTIF($E$661:E721,$D$662:$D$911),),)),"")</f>
        <v/>
      </c>
    </row>
    <row r="723" spans="2:5" x14ac:dyDescent="0.25">
      <c r="B723">
        <v>62</v>
      </c>
      <c r="C723" s="393" t="str">
        <f>IF('0_Datos generales organización'!H114="","",'0_Datos generales organización'!H114)</f>
        <v/>
      </c>
      <c r="D723" s="393" t="str">
        <f>IF(C723="","",IF('0_Datos generales organización'!J114="no","",Dades!C723))</f>
        <v/>
      </c>
      <c r="E723" s="393" t="str">
        <f>IFERROR(INDEX($D$662:$D$911,MATCH(0,INDEX(COUNTIF($E$661:E722,$D$662:$D$911),),)),"")</f>
        <v/>
      </c>
    </row>
    <row r="724" spans="2:5" x14ac:dyDescent="0.25">
      <c r="B724">
        <v>63</v>
      </c>
      <c r="C724" s="393" t="str">
        <f>IF('0_Datos generales organización'!H115="","",'0_Datos generales organización'!H115)</f>
        <v/>
      </c>
      <c r="D724" s="393" t="str">
        <f>IF(C724="","",IF('0_Datos generales organización'!J115="no","",Dades!C724))</f>
        <v/>
      </c>
      <c r="E724" s="393" t="str">
        <f>IFERROR(INDEX($D$662:$D$911,MATCH(0,INDEX(COUNTIF($E$661:E723,$D$662:$D$911),),)),"")</f>
        <v/>
      </c>
    </row>
    <row r="725" spans="2:5" x14ac:dyDescent="0.25">
      <c r="B725">
        <v>64</v>
      </c>
      <c r="C725" s="393" t="str">
        <f>IF('0_Datos generales organización'!H116="","",'0_Datos generales organización'!H116)</f>
        <v/>
      </c>
      <c r="D725" s="393" t="str">
        <f>IF(C725="","",IF('0_Datos generales organización'!J116="no","",Dades!C725))</f>
        <v/>
      </c>
      <c r="E725" s="393" t="str">
        <f>IFERROR(INDEX($D$662:$D$911,MATCH(0,INDEX(COUNTIF($E$661:E724,$D$662:$D$911),),)),"")</f>
        <v/>
      </c>
    </row>
    <row r="726" spans="2:5" x14ac:dyDescent="0.25">
      <c r="B726">
        <v>65</v>
      </c>
      <c r="C726" s="393" t="str">
        <f>IF('0_Datos generales organización'!H117="","",'0_Datos generales organización'!H117)</f>
        <v/>
      </c>
      <c r="D726" s="393" t="str">
        <f>IF(C726="","",IF('0_Datos generales organización'!J117="no","",Dades!C726))</f>
        <v/>
      </c>
      <c r="E726" s="393" t="str">
        <f>IFERROR(INDEX($D$662:$D$911,MATCH(0,INDEX(COUNTIF($E$661:E725,$D$662:$D$911),),)),"")</f>
        <v/>
      </c>
    </row>
    <row r="727" spans="2:5" x14ac:dyDescent="0.25">
      <c r="B727">
        <v>66</v>
      </c>
      <c r="C727" s="393" t="str">
        <f>IF('0_Datos generales organización'!H118="","",'0_Datos generales organización'!H118)</f>
        <v/>
      </c>
      <c r="D727" s="393" t="str">
        <f>IF(C727="","",IF('0_Datos generales organización'!J118="no","",Dades!C727))</f>
        <v/>
      </c>
      <c r="E727" s="393" t="str">
        <f>IFERROR(INDEX($D$662:$D$911,MATCH(0,INDEX(COUNTIF($E$661:E726,$D$662:$D$911),),)),"")</f>
        <v/>
      </c>
    </row>
    <row r="728" spans="2:5" x14ac:dyDescent="0.25">
      <c r="B728">
        <v>67</v>
      </c>
      <c r="C728" s="393" t="str">
        <f>IF('0_Datos generales organización'!H119="","",'0_Datos generales organización'!H119)</f>
        <v/>
      </c>
      <c r="D728" s="393" t="str">
        <f>IF(C728="","",IF('0_Datos generales organización'!J119="no","",Dades!C728))</f>
        <v/>
      </c>
      <c r="E728" s="393" t="str">
        <f>IFERROR(INDEX($D$662:$D$911,MATCH(0,INDEX(COUNTIF($E$661:E727,$D$662:$D$911),),)),"")</f>
        <v/>
      </c>
    </row>
    <row r="729" spans="2:5" x14ac:dyDescent="0.25">
      <c r="B729">
        <v>68</v>
      </c>
      <c r="C729" s="393" t="str">
        <f>IF('0_Datos generales organización'!H120="","",'0_Datos generales organización'!H120)</f>
        <v/>
      </c>
      <c r="D729" s="393" t="str">
        <f>IF(C729="","",IF('0_Datos generales organización'!J120="no","",Dades!C729))</f>
        <v/>
      </c>
      <c r="E729" s="393" t="str">
        <f>IFERROR(INDEX($D$662:$D$911,MATCH(0,INDEX(COUNTIF($E$661:E728,$D$662:$D$911),),)),"")</f>
        <v/>
      </c>
    </row>
    <row r="730" spans="2:5" x14ac:dyDescent="0.25">
      <c r="B730">
        <v>69</v>
      </c>
      <c r="C730" s="393" t="str">
        <f>IF('0_Datos generales organización'!H121="","",'0_Datos generales organización'!H121)</f>
        <v/>
      </c>
      <c r="D730" s="393" t="str">
        <f>IF(C730="","",IF('0_Datos generales organización'!J121="no","",Dades!C730))</f>
        <v/>
      </c>
      <c r="E730" s="393" t="str">
        <f>IFERROR(INDEX($D$662:$D$911,MATCH(0,INDEX(COUNTIF($E$661:E729,$D$662:$D$911),),)),"")</f>
        <v/>
      </c>
    </row>
    <row r="731" spans="2:5" x14ac:dyDescent="0.25">
      <c r="B731">
        <v>70</v>
      </c>
      <c r="C731" s="393" t="str">
        <f>IF('0_Datos generales organización'!H122="","",'0_Datos generales organización'!H122)</f>
        <v/>
      </c>
      <c r="D731" s="393" t="str">
        <f>IF(C731="","",IF('0_Datos generales organización'!J122="no","",Dades!C731))</f>
        <v/>
      </c>
      <c r="E731" s="393" t="str">
        <f>IFERROR(INDEX($D$662:$D$911,MATCH(0,INDEX(COUNTIF($E$661:E730,$D$662:$D$911),),)),"")</f>
        <v/>
      </c>
    </row>
    <row r="732" spans="2:5" x14ac:dyDescent="0.25">
      <c r="B732">
        <v>71</v>
      </c>
      <c r="C732" s="393" t="str">
        <f>IF('0_Datos generales organización'!H123="","",'0_Datos generales organización'!H123)</f>
        <v/>
      </c>
      <c r="D732" s="393" t="str">
        <f>IF(C732="","",IF('0_Datos generales organización'!J123="no","",Dades!C732))</f>
        <v/>
      </c>
      <c r="E732" s="393" t="str">
        <f>IFERROR(INDEX($D$662:$D$911,MATCH(0,INDEX(COUNTIF($E$661:E731,$D$662:$D$911),),)),"")</f>
        <v/>
      </c>
    </row>
    <row r="733" spans="2:5" x14ac:dyDescent="0.25">
      <c r="B733">
        <v>72</v>
      </c>
      <c r="C733" s="393" t="str">
        <f>IF('0_Datos generales organización'!H124="","",'0_Datos generales organización'!H124)</f>
        <v/>
      </c>
      <c r="D733" s="393" t="str">
        <f>IF(C733="","",IF('0_Datos generales organización'!J124="no","",Dades!C733))</f>
        <v/>
      </c>
      <c r="E733" s="393" t="str">
        <f>IFERROR(INDEX($D$662:$D$911,MATCH(0,INDEX(COUNTIF($E$661:E732,$D$662:$D$911),),)),"")</f>
        <v/>
      </c>
    </row>
    <row r="734" spans="2:5" x14ac:dyDescent="0.25">
      <c r="B734">
        <v>73</v>
      </c>
      <c r="C734" s="393" t="str">
        <f>IF('0_Datos generales organización'!H125="","",'0_Datos generales organización'!H125)</f>
        <v/>
      </c>
      <c r="D734" s="393" t="str">
        <f>IF(C734="","",IF('0_Datos generales organización'!J125="no","",Dades!C734))</f>
        <v/>
      </c>
      <c r="E734" s="393" t="str">
        <f>IFERROR(INDEX($D$662:$D$911,MATCH(0,INDEX(COUNTIF($E$661:E733,$D$662:$D$911),),)),"")</f>
        <v/>
      </c>
    </row>
    <row r="735" spans="2:5" x14ac:dyDescent="0.25">
      <c r="B735">
        <v>74</v>
      </c>
      <c r="C735" s="393" t="str">
        <f>IF('0_Datos generales organización'!H126="","",'0_Datos generales organización'!H126)</f>
        <v/>
      </c>
      <c r="D735" s="393" t="str">
        <f>IF(C735="","",IF('0_Datos generales organización'!J126="no","",Dades!C735))</f>
        <v/>
      </c>
      <c r="E735" s="393" t="str">
        <f>IFERROR(INDEX($D$662:$D$911,MATCH(0,INDEX(COUNTIF($E$661:E734,$D$662:$D$911),),)),"")</f>
        <v/>
      </c>
    </row>
    <row r="736" spans="2:5" x14ac:dyDescent="0.25">
      <c r="B736">
        <v>75</v>
      </c>
      <c r="C736" s="393" t="str">
        <f>IF('0_Datos generales organización'!H127="","",'0_Datos generales organización'!H127)</f>
        <v/>
      </c>
      <c r="D736" s="393" t="str">
        <f>IF(C736="","",IF('0_Datos generales organización'!J127="no","",Dades!C736))</f>
        <v/>
      </c>
      <c r="E736" s="393" t="str">
        <f>IFERROR(INDEX($D$662:$D$911,MATCH(0,INDEX(COUNTIF($E$661:E735,$D$662:$D$911),),)),"")</f>
        <v/>
      </c>
    </row>
    <row r="737" spans="2:5" x14ac:dyDescent="0.25">
      <c r="B737">
        <v>76</v>
      </c>
      <c r="C737" s="393" t="str">
        <f>IF('0_Datos generales organización'!H128="","",'0_Datos generales organización'!H128)</f>
        <v/>
      </c>
      <c r="D737" s="393" t="str">
        <f>IF(C737="","",IF('0_Datos generales organización'!J128="no","",Dades!C737))</f>
        <v/>
      </c>
      <c r="E737" s="393" t="str">
        <f>IFERROR(INDEX($D$662:$D$911,MATCH(0,INDEX(COUNTIF($E$661:E736,$D$662:$D$911),),)),"")</f>
        <v/>
      </c>
    </row>
    <row r="738" spans="2:5" x14ac:dyDescent="0.25">
      <c r="B738">
        <v>77</v>
      </c>
      <c r="C738" s="393" t="str">
        <f>IF('0_Datos generales organización'!H129="","",'0_Datos generales organización'!H129)</f>
        <v/>
      </c>
      <c r="D738" s="393" t="str">
        <f>IF(C738="","",IF('0_Datos generales organización'!J129="no","",Dades!C738))</f>
        <v/>
      </c>
      <c r="E738" s="393" t="str">
        <f>IFERROR(INDEX($D$662:$D$911,MATCH(0,INDEX(COUNTIF($E$661:E737,$D$662:$D$911),),)),"")</f>
        <v/>
      </c>
    </row>
    <row r="739" spans="2:5" x14ac:dyDescent="0.25">
      <c r="B739">
        <v>78</v>
      </c>
      <c r="C739" s="393" t="str">
        <f>IF('0_Datos generales organización'!H130="","",'0_Datos generales organización'!H130)</f>
        <v/>
      </c>
      <c r="D739" s="393" t="str">
        <f>IF(C739="","",IF('0_Datos generales organización'!J130="no","",Dades!C739))</f>
        <v/>
      </c>
      <c r="E739" s="393" t="str">
        <f>IFERROR(INDEX($D$662:$D$911,MATCH(0,INDEX(COUNTIF($E$661:E738,$D$662:$D$911),),)),"")</f>
        <v/>
      </c>
    </row>
    <row r="740" spans="2:5" x14ac:dyDescent="0.25">
      <c r="B740">
        <v>79</v>
      </c>
      <c r="C740" s="393" t="str">
        <f>IF('0_Datos generales organización'!H131="","",'0_Datos generales organización'!H131)</f>
        <v/>
      </c>
      <c r="D740" s="393" t="str">
        <f>IF(C740="","",IF('0_Datos generales organización'!J131="no","",Dades!C740))</f>
        <v/>
      </c>
      <c r="E740" s="393" t="str">
        <f>IFERROR(INDEX($D$662:$D$911,MATCH(0,INDEX(COUNTIF($E$661:E739,$D$662:$D$911),),)),"")</f>
        <v/>
      </c>
    </row>
    <row r="741" spans="2:5" x14ac:dyDescent="0.25">
      <c r="B741">
        <v>80</v>
      </c>
      <c r="C741" s="393" t="str">
        <f>IF('0_Datos generales organización'!H132="","",'0_Datos generales organización'!H132)</f>
        <v/>
      </c>
      <c r="D741" s="393" t="str">
        <f>IF(C741="","",IF('0_Datos generales organización'!J132="no","",Dades!C741))</f>
        <v/>
      </c>
      <c r="E741" s="393" t="str">
        <f>IFERROR(INDEX($D$662:$D$911,MATCH(0,INDEX(COUNTIF($E$661:E740,$D$662:$D$911),),)),"")</f>
        <v/>
      </c>
    </row>
    <row r="742" spans="2:5" x14ac:dyDescent="0.25">
      <c r="B742">
        <v>81</v>
      </c>
      <c r="C742" s="393" t="str">
        <f>IF('0_Datos generales organización'!H133="","",'0_Datos generales organización'!H133)</f>
        <v/>
      </c>
      <c r="D742" s="393" t="str">
        <f>IF(C742="","",IF('0_Datos generales organización'!J133="no","",Dades!C742))</f>
        <v/>
      </c>
      <c r="E742" s="393" t="str">
        <f>IFERROR(INDEX($D$662:$D$911,MATCH(0,INDEX(COUNTIF($E$661:E741,$D$662:$D$911),),)),"")</f>
        <v/>
      </c>
    </row>
    <row r="743" spans="2:5" x14ac:dyDescent="0.25">
      <c r="B743">
        <v>82</v>
      </c>
      <c r="C743" s="393" t="str">
        <f>IF('0_Datos generales organización'!H134="","",'0_Datos generales organización'!H134)</f>
        <v/>
      </c>
      <c r="D743" s="393" t="str">
        <f>IF(C743="","",IF('0_Datos generales organización'!J134="no","",Dades!C743))</f>
        <v/>
      </c>
      <c r="E743" s="393" t="str">
        <f>IFERROR(INDEX($D$662:$D$911,MATCH(0,INDEX(COUNTIF($E$661:E742,$D$662:$D$911),),)),"")</f>
        <v/>
      </c>
    </row>
    <row r="744" spans="2:5" x14ac:dyDescent="0.25">
      <c r="B744">
        <v>83</v>
      </c>
      <c r="C744" s="393" t="str">
        <f>IF('0_Datos generales organización'!H135="","",'0_Datos generales organización'!H135)</f>
        <v/>
      </c>
      <c r="D744" s="393" t="str">
        <f>IF(C744="","",IF('0_Datos generales organización'!J135="no","",Dades!C744))</f>
        <v/>
      </c>
      <c r="E744" s="393" t="str">
        <f>IFERROR(INDEX($D$662:$D$911,MATCH(0,INDEX(COUNTIF($E$661:E743,$D$662:$D$911),),)),"")</f>
        <v/>
      </c>
    </row>
    <row r="745" spans="2:5" x14ac:dyDescent="0.25">
      <c r="B745">
        <v>84</v>
      </c>
      <c r="C745" s="393" t="str">
        <f>IF('0_Datos generales organización'!H136="","",'0_Datos generales organización'!H136)</f>
        <v/>
      </c>
      <c r="D745" s="393" t="str">
        <f>IF(C745="","",IF('0_Datos generales organización'!J136="no","",Dades!C745))</f>
        <v/>
      </c>
      <c r="E745" s="393" t="str">
        <f>IFERROR(INDEX($D$662:$D$911,MATCH(0,INDEX(COUNTIF($E$661:E744,$D$662:$D$911),),)),"")</f>
        <v/>
      </c>
    </row>
    <row r="746" spans="2:5" x14ac:dyDescent="0.25">
      <c r="B746">
        <v>85</v>
      </c>
      <c r="C746" s="393" t="str">
        <f>IF('0_Datos generales organización'!H137="","",'0_Datos generales organización'!H137)</f>
        <v/>
      </c>
      <c r="D746" s="393" t="str">
        <f>IF(C746="","",IF('0_Datos generales organización'!J137="no","",Dades!C746))</f>
        <v/>
      </c>
      <c r="E746" s="393" t="str">
        <f>IFERROR(INDEX($D$662:$D$911,MATCH(0,INDEX(COUNTIF($E$661:E745,$D$662:$D$911),),)),"")</f>
        <v/>
      </c>
    </row>
    <row r="747" spans="2:5" x14ac:dyDescent="0.25">
      <c r="B747">
        <v>86</v>
      </c>
      <c r="C747" s="393" t="str">
        <f>IF('0_Datos generales organización'!H138="","",'0_Datos generales organización'!H138)</f>
        <v/>
      </c>
      <c r="D747" s="393" t="str">
        <f>IF(C747="","",IF('0_Datos generales organización'!J138="no","",Dades!C747))</f>
        <v/>
      </c>
      <c r="E747" s="393" t="str">
        <f>IFERROR(INDEX($D$662:$D$911,MATCH(0,INDEX(COUNTIF($E$661:E746,$D$662:$D$911),),)),"")</f>
        <v/>
      </c>
    </row>
    <row r="748" spans="2:5" x14ac:dyDescent="0.25">
      <c r="B748">
        <v>87</v>
      </c>
      <c r="C748" s="393" t="str">
        <f>IF('0_Datos generales organización'!H139="","",'0_Datos generales organización'!H139)</f>
        <v/>
      </c>
      <c r="D748" s="393" t="str">
        <f>IF(C748="","",IF('0_Datos generales organización'!J139="no","",Dades!C748))</f>
        <v/>
      </c>
      <c r="E748" s="393" t="str">
        <f>IFERROR(INDEX($D$662:$D$911,MATCH(0,INDEX(COUNTIF($E$661:E747,$D$662:$D$911),),)),"")</f>
        <v/>
      </c>
    </row>
    <row r="749" spans="2:5" x14ac:dyDescent="0.25">
      <c r="B749">
        <v>88</v>
      </c>
      <c r="C749" s="393" t="str">
        <f>IF('0_Datos generales organización'!H140="","",'0_Datos generales organización'!H140)</f>
        <v/>
      </c>
      <c r="D749" s="393" t="str">
        <f>IF(C749="","",IF('0_Datos generales organización'!J140="no","",Dades!C749))</f>
        <v/>
      </c>
      <c r="E749" s="393" t="str">
        <f>IFERROR(INDEX($D$662:$D$911,MATCH(0,INDEX(COUNTIF($E$661:E748,$D$662:$D$911),),)),"")</f>
        <v/>
      </c>
    </row>
    <row r="750" spans="2:5" x14ac:dyDescent="0.25">
      <c r="B750">
        <v>89</v>
      </c>
      <c r="C750" s="393" t="str">
        <f>IF('0_Datos generales organización'!H141="","",'0_Datos generales organización'!H141)</f>
        <v/>
      </c>
      <c r="D750" s="393" t="str">
        <f>IF(C750="","",IF('0_Datos generales organización'!J141="no","",Dades!C750))</f>
        <v/>
      </c>
      <c r="E750" s="393" t="str">
        <f>IFERROR(INDEX($D$662:$D$911,MATCH(0,INDEX(COUNTIF($E$661:E749,$D$662:$D$911),),)),"")</f>
        <v/>
      </c>
    </row>
    <row r="751" spans="2:5" x14ac:dyDescent="0.25">
      <c r="B751">
        <v>90</v>
      </c>
      <c r="C751" s="393" t="str">
        <f>IF('0_Datos generales organización'!H142="","",'0_Datos generales organización'!H142)</f>
        <v/>
      </c>
      <c r="D751" s="393" t="str">
        <f>IF(C751="","",IF('0_Datos generales organización'!J142="no","",Dades!C751))</f>
        <v/>
      </c>
      <c r="E751" s="393" t="str">
        <f>IFERROR(INDEX($D$662:$D$911,MATCH(0,INDEX(COUNTIF($E$661:E750,$D$662:$D$911),),)),"")</f>
        <v/>
      </c>
    </row>
    <row r="752" spans="2:5" x14ac:dyDescent="0.25">
      <c r="B752">
        <v>91</v>
      </c>
      <c r="C752" s="393" t="str">
        <f>IF('0_Datos generales organización'!H143="","",'0_Datos generales organización'!H143)</f>
        <v/>
      </c>
      <c r="D752" s="393" t="str">
        <f>IF(C752="","",IF('0_Datos generales organización'!J143="no","",Dades!C752))</f>
        <v/>
      </c>
      <c r="E752" s="393" t="str">
        <f>IFERROR(INDEX($D$662:$D$911,MATCH(0,INDEX(COUNTIF($E$661:E751,$D$662:$D$911),),)),"")</f>
        <v/>
      </c>
    </row>
    <row r="753" spans="2:5" x14ac:dyDescent="0.25">
      <c r="B753">
        <v>92</v>
      </c>
      <c r="C753" s="393" t="str">
        <f>IF('0_Datos generales organización'!H144="","",'0_Datos generales organización'!H144)</f>
        <v/>
      </c>
      <c r="D753" s="393" t="str">
        <f>IF(C753="","",IF('0_Datos generales organización'!J144="no","",Dades!C753))</f>
        <v/>
      </c>
      <c r="E753" s="393" t="str">
        <f>IFERROR(INDEX($D$662:$D$911,MATCH(0,INDEX(COUNTIF($E$661:E752,$D$662:$D$911),),)),"")</f>
        <v/>
      </c>
    </row>
    <row r="754" spans="2:5" x14ac:dyDescent="0.25">
      <c r="B754">
        <v>93</v>
      </c>
      <c r="C754" s="393" t="str">
        <f>IF('0_Datos generales organización'!H145="","",'0_Datos generales organización'!H145)</f>
        <v/>
      </c>
      <c r="D754" s="393" t="str">
        <f>IF(C754="","",IF('0_Datos generales organización'!J145="no","",Dades!C754))</f>
        <v/>
      </c>
      <c r="E754" s="393" t="str">
        <f>IFERROR(INDEX($D$662:$D$911,MATCH(0,INDEX(COUNTIF($E$661:E753,$D$662:$D$911),),)),"")</f>
        <v/>
      </c>
    </row>
    <row r="755" spans="2:5" x14ac:dyDescent="0.25">
      <c r="B755">
        <v>94</v>
      </c>
      <c r="C755" s="393" t="str">
        <f>IF('0_Datos generales organización'!H146="","",'0_Datos generales organización'!H146)</f>
        <v/>
      </c>
      <c r="D755" s="393" t="str">
        <f>IF(C755="","",IF('0_Datos generales organización'!J146="no","",Dades!C755))</f>
        <v/>
      </c>
      <c r="E755" s="393" t="str">
        <f>IFERROR(INDEX($D$662:$D$911,MATCH(0,INDEX(COUNTIF($E$661:E754,$D$662:$D$911),),)),"")</f>
        <v/>
      </c>
    </row>
    <row r="756" spans="2:5" x14ac:dyDescent="0.25">
      <c r="B756">
        <v>95</v>
      </c>
      <c r="C756" s="393" t="str">
        <f>IF('0_Datos generales organización'!H147="","",'0_Datos generales organización'!H147)</f>
        <v/>
      </c>
      <c r="D756" s="393" t="str">
        <f>IF(C756="","",IF('0_Datos generales organización'!J147="no","",Dades!C756))</f>
        <v/>
      </c>
      <c r="E756" s="393" t="str">
        <f>IFERROR(INDEX($D$662:$D$911,MATCH(0,INDEX(COUNTIF($E$661:E755,$D$662:$D$911),),)),"")</f>
        <v/>
      </c>
    </row>
    <row r="757" spans="2:5" x14ac:dyDescent="0.25">
      <c r="B757">
        <v>96</v>
      </c>
      <c r="C757" s="393" t="str">
        <f>IF('0_Datos generales organización'!H148="","",'0_Datos generales organización'!H148)</f>
        <v/>
      </c>
      <c r="D757" s="393" t="str">
        <f>IF(C757="","",IF('0_Datos generales organización'!J148="no","",Dades!C757))</f>
        <v/>
      </c>
      <c r="E757" s="393" t="str">
        <f>IFERROR(INDEX($D$662:$D$911,MATCH(0,INDEX(COUNTIF($E$661:E756,$D$662:$D$911),),)),"")</f>
        <v/>
      </c>
    </row>
    <row r="758" spans="2:5" x14ac:dyDescent="0.25">
      <c r="B758">
        <v>97</v>
      </c>
      <c r="C758" s="393" t="str">
        <f>IF('0_Datos generales organización'!H149="","",'0_Datos generales organización'!H149)</f>
        <v/>
      </c>
      <c r="D758" s="393" t="str">
        <f>IF(C758="","",IF('0_Datos generales organización'!J149="no","",Dades!C758))</f>
        <v/>
      </c>
      <c r="E758" s="393" t="str">
        <f>IFERROR(INDEX($D$662:$D$911,MATCH(0,INDEX(COUNTIF($E$661:E757,$D$662:$D$911),),)),"")</f>
        <v/>
      </c>
    </row>
    <row r="759" spans="2:5" x14ac:dyDescent="0.25">
      <c r="B759">
        <v>98</v>
      </c>
      <c r="C759" s="393" t="str">
        <f>IF('0_Datos generales organización'!H150="","",'0_Datos generales organización'!H150)</f>
        <v/>
      </c>
      <c r="D759" s="393" t="str">
        <f>IF(C759="","",IF('0_Datos generales organización'!J150="no","",Dades!C759))</f>
        <v/>
      </c>
      <c r="E759" s="393" t="str">
        <f>IFERROR(INDEX($D$662:$D$911,MATCH(0,INDEX(COUNTIF($E$661:E758,$D$662:$D$911),),)),"")</f>
        <v/>
      </c>
    </row>
    <row r="760" spans="2:5" x14ac:dyDescent="0.25">
      <c r="B760">
        <v>99</v>
      </c>
      <c r="C760" s="393" t="str">
        <f>IF('0_Datos generales organización'!H151="","",'0_Datos generales organización'!H151)</f>
        <v/>
      </c>
      <c r="D760" s="393" t="str">
        <f>IF(C760="","",IF('0_Datos generales organización'!J151="no","",Dades!C760))</f>
        <v/>
      </c>
      <c r="E760" s="393" t="str">
        <f>IFERROR(INDEX($D$662:$D$911,MATCH(0,INDEX(COUNTIF($E$661:E759,$D$662:$D$911),),)),"")</f>
        <v/>
      </c>
    </row>
    <row r="761" spans="2:5" x14ac:dyDescent="0.25">
      <c r="B761">
        <v>100</v>
      </c>
      <c r="C761" s="393" t="str">
        <f>IF('0_Datos generales organización'!H152="","",'0_Datos generales organización'!H152)</f>
        <v/>
      </c>
      <c r="D761" s="393" t="str">
        <f>IF(C761="","",IF('0_Datos generales organización'!J152="no","",Dades!C761))</f>
        <v/>
      </c>
      <c r="E761" s="393" t="str">
        <f>IFERROR(INDEX($D$662:$D$911,MATCH(0,INDEX(COUNTIF($E$661:E760,$D$662:$D$911),),)),"")</f>
        <v/>
      </c>
    </row>
    <row r="762" spans="2:5" x14ac:dyDescent="0.25">
      <c r="B762">
        <v>101</v>
      </c>
      <c r="C762" s="393" t="str">
        <f>IF('0_Datos generales organización'!H153="","",'0_Datos generales organización'!H153)</f>
        <v/>
      </c>
      <c r="D762" s="393" t="str">
        <f>IF(C762="","",IF('0_Datos generales organización'!J153="no","",Dades!C762))</f>
        <v/>
      </c>
      <c r="E762" s="393" t="str">
        <f>IFERROR(INDEX($D$662:$D$911,MATCH(0,INDEX(COUNTIF($E$661:E761,$D$662:$D$911),),)),"")</f>
        <v/>
      </c>
    </row>
    <row r="763" spans="2:5" x14ac:dyDescent="0.25">
      <c r="B763">
        <v>102</v>
      </c>
      <c r="C763" s="393" t="str">
        <f>IF('0_Datos generales organización'!H154="","",'0_Datos generales organización'!H154)</f>
        <v/>
      </c>
      <c r="D763" s="393" t="str">
        <f>IF(C763="","",IF('0_Datos generales organización'!J154="no","",Dades!C763))</f>
        <v/>
      </c>
      <c r="E763" s="393" t="str">
        <f>IFERROR(INDEX($D$662:$D$911,MATCH(0,INDEX(COUNTIF($E$661:E762,$D$662:$D$911),),)),"")</f>
        <v/>
      </c>
    </row>
    <row r="764" spans="2:5" x14ac:dyDescent="0.25">
      <c r="B764">
        <v>103</v>
      </c>
      <c r="C764" s="393" t="str">
        <f>IF('0_Datos generales organización'!H155="","",'0_Datos generales organización'!H155)</f>
        <v/>
      </c>
      <c r="D764" s="393" t="str">
        <f>IF(C764="","",IF('0_Datos generales organización'!J155="no","",Dades!C764))</f>
        <v/>
      </c>
      <c r="E764" s="393" t="str">
        <f>IFERROR(INDEX($D$662:$D$911,MATCH(0,INDEX(COUNTIF($E$661:E763,$D$662:$D$911),),)),"")</f>
        <v/>
      </c>
    </row>
    <row r="765" spans="2:5" x14ac:dyDescent="0.25">
      <c r="B765">
        <v>104</v>
      </c>
      <c r="C765" s="393" t="str">
        <f>IF('0_Datos generales organización'!H156="","",'0_Datos generales organización'!H156)</f>
        <v/>
      </c>
      <c r="D765" s="393" t="str">
        <f>IF(C765="","",IF('0_Datos generales organización'!J156="no","",Dades!C765))</f>
        <v/>
      </c>
      <c r="E765" s="393" t="str">
        <f>IFERROR(INDEX($D$662:$D$911,MATCH(0,INDEX(COUNTIF($E$661:E764,$D$662:$D$911),),)),"")</f>
        <v/>
      </c>
    </row>
    <row r="766" spans="2:5" x14ac:dyDescent="0.25">
      <c r="B766">
        <v>105</v>
      </c>
      <c r="C766" s="393" t="str">
        <f>IF('0_Datos generales organización'!H157="","",'0_Datos generales organización'!H157)</f>
        <v/>
      </c>
      <c r="D766" s="393" t="str">
        <f>IF(C766="","",IF('0_Datos generales organización'!J157="no","",Dades!C766))</f>
        <v/>
      </c>
      <c r="E766" s="393" t="str">
        <f>IFERROR(INDEX($D$662:$D$911,MATCH(0,INDEX(COUNTIF($E$661:E765,$D$662:$D$911),),)),"")</f>
        <v/>
      </c>
    </row>
    <row r="767" spans="2:5" x14ac:dyDescent="0.25">
      <c r="B767">
        <v>106</v>
      </c>
      <c r="C767" s="393" t="str">
        <f>IF('0_Datos generales organización'!H158="","",'0_Datos generales organización'!H158)</f>
        <v/>
      </c>
      <c r="D767" s="393" t="str">
        <f>IF(C767="","",IF('0_Datos generales organización'!J158="no","",Dades!C767))</f>
        <v/>
      </c>
      <c r="E767" s="393" t="str">
        <f>IFERROR(INDEX($D$662:$D$911,MATCH(0,INDEX(COUNTIF($E$661:E766,$D$662:$D$911),),)),"")</f>
        <v/>
      </c>
    </row>
    <row r="768" spans="2:5" x14ac:dyDescent="0.25">
      <c r="B768">
        <v>107</v>
      </c>
      <c r="C768" s="393" t="str">
        <f>IF('0_Datos generales organización'!H159="","",'0_Datos generales organización'!H159)</f>
        <v/>
      </c>
      <c r="D768" s="393" t="str">
        <f>IF(C768="","",IF('0_Datos generales organización'!J159="no","",Dades!C768))</f>
        <v/>
      </c>
      <c r="E768" s="393" t="str">
        <f>IFERROR(INDEX($D$662:$D$911,MATCH(0,INDEX(COUNTIF($E$661:E767,$D$662:$D$911),),)),"")</f>
        <v/>
      </c>
    </row>
    <row r="769" spans="2:5" x14ac:dyDescent="0.25">
      <c r="B769">
        <v>108</v>
      </c>
      <c r="C769" s="393" t="str">
        <f>IF('0_Datos generales organización'!H160="","",'0_Datos generales organización'!H160)</f>
        <v/>
      </c>
      <c r="D769" s="393" t="str">
        <f>IF(C769="","",IF('0_Datos generales organización'!J160="no","",Dades!C769))</f>
        <v/>
      </c>
      <c r="E769" s="393" t="str">
        <f>IFERROR(INDEX($D$662:$D$911,MATCH(0,INDEX(COUNTIF($E$661:E768,$D$662:$D$911),),)),"")</f>
        <v/>
      </c>
    </row>
    <row r="770" spans="2:5" x14ac:dyDescent="0.25">
      <c r="B770">
        <v>109</v>
      </c>
      <c r="C770" s="393" t="str">
        <f>IF('0_Datos generales organización'!H161="","",'0_Datos generales organización'!H161)</f>
        <v/>
      </c>
      <c r="D770" s="393" t="str">
        <f>IF(C770="","",IF('0_Datos generales organización'!J161="no","",Dades!C770))</f>
        <v/>
      </c>
      <c r="E770" s="393" t="str">
        <f>IFERROR(INDEX($D$662:$D$911,MATCH(0,INDEX(COUNTIF($E$661:E769,$D$662:$D$911),),)),"")</f>
        <v/>
      </c>
    </row>
    <row r="771" spans="2:5" x14ac:dyDescent="0.25">
      <c r="B771">
        <v>110</v>
      </c>
      <c r="C771" s="393" t="str">
        <f>IF('0_Datos generales organización'!H162="","",'0_Datos generales organización'!H162)</f>
        <v/>
      </c>
      <c r="D771" s="393" t="str">
        <f>IF(C771="","",IF('0_Datos generales organización'!J162="no","",Dades!C771))</f>
        <v/>
      </c>
      <c r="E771" s="393" t="str">
        <f>IFERROR(INDEX($D$662:$D$911,MATCH(0,INDEX(COUNTIF($E$661:E770,$D$662:$D$911),),)),"")</f>
        <v/>
      </c>
    </row>
    <row r="772" spans="2:5" x14ac:dyDescent="0.25">
      <c r="B772">
        <v>111</v>
      </c>
      <c r="C772" s="393" t="str">
        <f>IF('0_Datos generales organización'!H163="","",'0_Datos generales organización'!H163)</f>
        <v/>
      </c>
      <c r="D772" s="393" t="str">
        <f>IF(C772="","",IF('0_Datos generales organización'!J163="no","",Dades!C772))</f>
        <v/>
      </c>
      <c r="E772" s="393" t="str">
        <f>IFERROR(INDEX($D$662:$D$911,MATCH(0,INDEX(COUNTIF($E$661:E771,$D$662:$D$911),),)),"")</f>
        <v/>
      </c>
    </row>
    <row r="773" spans="2:5" x14ac:dyDescent="0.25">
      <c r="B773">
        <v>112</v>
      </c>
      <c r="C773" s="393" t="str">
        <f>IF('0_Datos generales organización'!H164="","",'0_Datos generales organización'!H164)</f>
        <v/>
      </c>
      <c r="D773" s="393" t="str">
        <f>IF(C773="","",IF('0_Datos generales organización'!J164="no","",Dades!C773))</f>
        <v/>
      </c>
      <c r="E773" s="393" t="str">
        <f>IFERROR(INDEX($D$662:$D$911,MATCH(0,INDEX(COUNTIF($E$661:E772,$D$662:$D$911),),)),"")</f>
        <v/>
      </c>
    </row>
    <row r="774" spans="2:5" x14ac:dyDescent="0.25">
      <c r="B774">
        <v>113</v>
      </c>
      <c r="C774" s="393" t="str">
        <f>IF('0_Datos generales organización'!H165="","",'0_Datos generales organización'!H165)</f>
        <v/>
      </c>
      <c r="D774" s="393" t="str">
        <f>IF(C774="","",IF('0_Datos generales organización'!J165="no","",Dades!C774))</f>
        <v/>
      </c>
      <c r="E774" s="393" t="str">
        <f>IFERROR(INDEX($D$662:$D$911,MATCH(0,INDEX(COUNTIF($E$661:E773,$D$662:$D$911),),)),"")</f>
        <v/>
      </c>
    </row>
    <row r="775" spans="2:5" x14ac:dyDescent="0.25">
      <c r="B775">
        <v>114</v>
      </c>
      <c r="C775" s="393" t="str">
        <f>IF('0_Datos generales organización'!H166="","",'0_Datos generales organización'!H166)</f>
        <v/>
      </c>
      <c r="D775" s="393" t="str">
        <f>IF(C775="","",IF('0_Datos generales organización'!J166="no","",Dades!C775))</f>
        <v/>
      </c>
      <c r="E775" s="393" t="str">
        <f>IFERROR(INDEX($D$662:$D$911,MATCH(0,INDEX(COUNTIF($E$661:E774,$D$662:$D$911),),)),"")</f>
        <v/>
      </c>
    </row>
    <row r="776" spans="2:5" x14ac:dyDescent="0.25">
      <c r="B776">
        <v>115</v>
      </c>
      <c r="C776" s="393" t="str">
        <f>IF('0_Datos generales organización'!H167="","",'0_Datos generales organización'!H167)</f>
        <v/>
      </c>
      <c r="D776" s="393" t="str">
        <f>IF(C776="","",IF('0_Datos generales organización'!J167="no","",Dades!C776))</f>
        <v/>
      </c>
      <c r="E776" s="393" t="str">
        <f>IFERROR(INDEX($D$662:$D$911,MATCH(0,INDEX(COUNTIF($E$661:E775,$D$662:$D$911),),)),"")</f>
        <v/>
      </c>
    </row>
    <row r="777" spans="2:5" x14ac:dyDescent="0.25">
      <c r="B777">
        <v>116</v>
      </c>
      <c r="C777" s="393" t="str">
        <f>IF('0_Datos generales organización'!H168="","",'0_Datos generales organización'!H168)</f>
        <v/>
      </c>
      <c r="D777" s="393" t="str">
        <f>IF(C777="","",IF('0_Datos generales organización'!J168="no","",Dades!C777))</f>
        <v/>
      </c>
      <c r="E777" s="393" t="str">
        <f>IFERROR(INDEX($D$662:$D$911,MATCH(0,INDEX(COUNTIF($E$661:E776,$D$662:$D$911),),)),"")</f>
        <v/>
      </c>
    </row>
    <row r="778" spans="2:5" x14ac:dyDescent="0.25">
      <c r="B778">
        <v>117</v>
      </c>
      <c r="C778" s="393" t="str">
        <f>IF('0_Datos generales organización'!H169="","",'0_Datos generales organización'!H169)</f>
        <v/>
      </c>
      <c r="D778" s="393" t="str">
        <f>IF(C778="","",IF('0_Datos generales organización'!J169="no","",Dades!C778))</f>
        <v/>
      </c>
      <c r="E778" s="393" t="str">
        <f>IFERROR(INDEX($D$662:$D$911,MATCH(0,INDEX(COUNTIF($E$661:E777,$D$662:$D$911),),)),"")</f>
        <v/>
      </c>
    </row>
    <row r="779" spans="2:5" x14ac:dyDescent="0.25">
      <c r="B779">
        <v>118</v>
      </c>
      <c r="C779" s="393" t="str">
        <f>IF('0_Datos generales organización'!H170="","",'0_Datos generales organización'!H170)</f>
        <v/>
      </c>
      <c r="D779" s="393" t="str">
        <f>IF(C779="","",IF('0_Datos generales organización'!J170="no","",Dades!C779))</f>
        <v/>
      </c>
      <c r="E779" s="393" t="str">
        <f>IFERROR(INDEX($D$662:$D$911,MATCH(0,INDEX(COUNTIF($E$661:E778,$D$662:$D$911),),)),"")</f>
        <v/>
      </c>
    </row>
    <row r="780" spans="2:5" x14ac:dyDescent="0.25">
      <c r="B780">
        <v>119</v>
      </c>
      <c r="C780" s="393" t="str">
        <f>IF('0_Datos generales organización'!H171="","",'0_Datos generales organización'!H171)</f>
        <v/>
      </c>
      <c r="D780" s="393" t="str">
        <f>IF(C780="","",IF('0_Datos generales organización'!J171="no","",Dades!C780))</f>
        <v/>
      </c>
      <c r="E780" s="393" t="str">
        <f>IFERROR(INDEX($D$662:$D$911,MATCH(0,INDEX(COUNTIF($E$661:E779,$D$662:$D$911),),)),"")</f>
        <v/>
      </c>
    </row>
    <row r="781" spans="2:5" x14ac:dyDescent="0.25">
      <c r="B781">
        <v>120</v>
      </c>
      <c r="C781" s="393" t="str">
        <f>IF('0_Datos generales organización'!H172="","",'0_Datos generales organización'!H172)</f>
        <v/>
      </c>
      <c r="D781" s="393" t="str">
        <f>IF(C781="","",IF('0_Datos generales organización'!J172="no","",Dades!C781))</f>
        <v/>
      </c>
      <c r="E781" s="393" t="str">
        <f>IFERROR(INDEX($D$662:$D$911,MATCH(0,INDEX(COUNTIF($E$661:E780,$D$662:$D$911),),)),"")</f>
        <v/>
      </c>
    </row>
    <row r="782" spans="2:5" x14ac:dyDescent="0.25">
      <c r="B782">
        <v>121</v>
      </c>
      <c r="C782" s="393" t="str">
        <f>IF('0_Datos generales organización'!H173="","",'0_Datos generales organización'!H173)</f>
        <v/>
      </c>
      <c r="D782" s="393" t="str">
        <f>IF(C782="","",IF('0_Datos generales organización'!J173="no","",Dades!C782))</f>
        <v/>
      </c>
      <c r="E782" s="393" t="str">
        <f>IFERROR(INDEX($D$662:$D$911,MATCH(0,INDEX(COUNTIF($E$661:E781,$D$662:$D$911),),)),"")</f>
        <v/>
      </c>
    </row>
    <row r="783" spans="2:5" x14ac:dyDescent="0.25">
      <c r="B783">
        <v>122</v>
      </c>
      <c r="C783" s="393" t="str">
        <f>IF('0_Datos generales organización'!H174="","",'0_Datos generales organización'!H174)</f>
        <v/>
      </c>
      <c r="D783" s="393" t="str">
        <f>IF(C783="","",IF('0_Datos generales organización'!J174="no","",Dades!C783))</f>
        <v/>
      </c>
      <c r="E783" s="393" t="str">
        <f>IFERROR(INDEX($D$662:$D$911,MATCH(0,INDEX(COUNTIF($E$661:E782,$D$662:$D$911),),)),"")</f>
        <v/>
      </c>
    </row>
    <row r="784" spans="2:5" x14ac:dyDescent="0.25">
      <c r="B784">
        <v>123</v>
      </c>
      <c r="C784" s="393" t="str">
        <f>IF('0_Datos generales organización'!H175="","",'0_Datos generales organización'!H175)</f>
        <v/>
      </c>
      <c r="D784" s="393" t="str">
        <f>IF(C784="","",IF('0_Datos generales organización'!J175="no","",Dades!C784))</f>
        <v/>
      </c>
      <c r="E784" s="393" t="str">
        <f>IFERROR(INDEX($D$662:$D$911,MATCH(0,INDEX(COUNTIF($E$661:E783,$D$662:$D$911),),)),"")</f>
        <v/>
      </c>
    </row>
    <row r="785" spans="2:5" x14ac:dyDescent="0.25">
      <c r="B785">
        <v>124</v>
      </c>
      <c r="C785" s="393" t="str">
        <f>IF('0_Datos generales organización'!H176="","",'0_Datos generales organización'!H176)</f>
        <v/>
      </c>
      <c r="D785" s="393" t="str">
        <f>IF(C785="","",IF('0_Datos generales organización'!J176="no","",Dades!C785))</f>
        <v/>
      </c>
      <c r="E785" s="393" t="str">
        <f>IFERROR(INDEX($D$662:$D$911,MATCH(0,INDEX(COUNTIF($E$661:E784,$D$662:$D$911),),)),"")</f>
        <v/>
      </c>
    </row>
    <row r="786" spans="2:5" x14ac:dyDescent="0.25">
      <c r="B786">
        <v>125</v>
      </c>
      <c r="C786" s="393" t="str">
        <f>IF('0_Datos generales organización'!H177="","",'0_Datos generales organización'!H177)</f>
        <v/>
      </c>
      <c r="D786" s="393" t="str">
        <f>IF(C786="","",IF('0_Datos generales organización'!J177="no","",Dades!C786))</f>
        <v/>
      </c>
      <c r="E786" s="393" t="str">
        <f>IFERROR(INDEX($D$662:$D$911,MATCH(0,INDEX(COUNTIF($E$661:E785,$D$662:$D$911),),)),"")</f>
        <v/>
      </c>
    </row>
    <row r="787" spans="2:5" x14ac:dyDescent="0.25">
      <c r="B787">
        <v>126</v>
      </c>
      <c r="C787" s="393" t="str">
        <f>IF('0_Datos generales organización'!H178="","",'0_Datos generales organización'!H178)</f>
        <v/>
      </c>
      <c r="D787" s="393" t="str">
        <f>IF(C787="","",IF('0_Datos generales organización'!J178="no","",Dades!C787))</f>
        <v/>
      </c>
      <c r="E787" s="393" t="str">
        <f>IFERROR(INDEX($D$662:$D$911,MATCH(0,INDEX(COUNTIF($E$661:E786,$D$662:$D$911),),)),"")</f>
        <v/>
      </c>
    </row>
    <row r="788" spans="2:5" x14ac:dyDescent="0.25">
      <c r="B788">
        <v>127</v>
      </c>
      <c r="C788" s="393" t="str">
        <f>IF('0_Datos generales organización'!H179="","",'0_Datos generales organización'!H179)</f>
        <v/>
      </c>
      <c r="D788" s="393" t="str">
        <f>IF(C788="","",IF('0_Datos generales organización'!J179="no","",Dades!C788))</f>
        <v/>
      </c>
      <c r="E788" s="393" t="str">
        <f>IFERROR(INDEX($D$662:$D$911,MATCH(0,INDEX(COUNTIF($E$661:E787,$D$662:$D$911),),)),"")</f>
        <v/>
      </c>
    </row>
    <row r="789" spans="2:5" x14ac:dyDescent="0.25">
      <c r="B789">
        <v>128</v>
      </c>
      <c r="C789" s="393" t="str">
        <f>IF('0_Datos generales organización'!H180="","",'0_Datos generales organización'!H180)</f>
        <v/>
      </c>
      <c r="D789" s="393" t="str">
        <f>IF(C789="","",IF('0_Datos generales organización'!J180="no","",Dades!C789))</f>
        <v/>
      </c>
      <c r="E789" s="393" t="str">
        <f>IFERROR(INDEX($D$662:$D$911,MATCH(0,INDEX(COUNTIF($E$661:E788,$D$662:$D$911),),)),"")</f>
        <v/>
      </c>
    </row>
    <row r="790" spans="2:5" x14ac:dyDescent="0.25">
      <c r="B790">
        <v>129</v>
      </c>
      <c r="C790" s="393" t="str">
        <f>IF('0_Datos generales organización'!H181="","",'0_Datos generales organización'!H181)</f>
        <v/>
      </c>
      <c r="D790" s="393" t="str">
        <f>IF(C790="","",IF('0_Datos generales organización'!J181="no","",Dades!C790))</f>
        <v/>
      </c>
      <c r="E790" s="393" t="str">
        <f>IFERROR(INDEX($D$662:$D$911,MATCH(0,INDEX(COUNTIF($E$661:E789,$D$662:$D$911),),)),"")</f>
        <v/>
      </c>
    </row>
    <row r="791" spans="2:5" x14ac:dyDescent="0.25">
      <c r="B791">
        <v>130</v>
      </c>
      <c r="C791" s="393" t="str">
        <f>IF('0_Datos generales organización'!H182="","",'0_Datos generales organización'!H182)</f>
        <v/>
      </c>
      <c r="D791" s="393" t="str">
        <f>IF(C791="","",IF('0_Datos generales organización'!J182="no","",Dades!C791))</f>
        <v/>
      </c>
      <c r="E791" s="393" t="str">
        <f>IFERROR(INDEX($D$662:$D$911,MATCH(0,INDEX(COUNTIF($E$661:E790,$D$662:$D$911),),)),"")</f>
        <v/>
      </c>
    </row>
    <row r="792" spans="2:5" x14ac:dyDescent="0.25">
      <c r="B792">
        <v>131</v>
      </c>
      <c r="C792" s="393" t="str">
        <f>IF('0_Datos generales organización'!H183="","",'0_Datos generales organización'!H183)</f>
        <v/>
      </c>
      <c r="D792" s="393" t="str">
        <f>IF(C792="","",IF('0_Datos generales organización'!J183="no","",Dades!C792))</f>
        <v/>
      </c>
      <c r="E792" s="393" t="str">
        <f>IFERROR(INDEX($D$662:$D$911,MATCH(0,INDEX(COUNTIF($E$661:E791,$D$662:$D$911),),)),"")</f>
        <v/>
      </c>
    </row>
    <row r="793" spans="2:5" x14ac:dyDescent="0.25">
      <c r="B793">
        <v>132</v>
      </c>
      <c r="C793" s="393" t="str">
        <f>IF('0_Datos generales organización'!H184="","",'0_Datos generales organización'!H184)</f>
        <v/>
      </c>
      <c r="D793" s="393" t="str">
        <f>IF(C793="","",IF('0_Datos generales organización'!J184="no","",Dades!C793))</f>
        <v/>
      </c>
      <c r="E793" s="393" t="str">
        <f>IFERROR(INDEX($D$662:$D$911,MATCH(0,INDEX(COUNTIF($E$661:E792,$D$662:$D$911),),)),"")</f>
        <v/>
      </c>
    </row>
    <row r="794" spans="2:5" x14ac:dyDescent="0.25">
      <c r="B794">
        <v>133</v>
      </c>
      <c r="C794" s="393" t="str">
        <f>IF('0_Datos generales organización'!H185="","",'0_Datos generales organización'!H185)</f>
        <v/>
      </c>
      <c r="D794" s="393" t="str">
        <f>IF(C794="","",IF('0_Datos generales organización'!J185="no","",Dades!C794))</f>
        <v/>
      </c>
      <c r="E794" s="393" t="str">
        <f>IFERROR(INDEX($D$662:$D$911,MATCH(0,INDEX(COUNTIF($E$661:E793,$D$662:$D$911),),)),"")</f>
        <v/>
      </c>
    </row>
    <row r="795" spans="2:5" x14ac:dyDescent="0.25">
      <c r="B795">
        <v>134</v>
      </c>
      <c r="C795" s="393" t="str">
        <f>IF('0_Datos generales organización'!H186="","",'0_Datos generales organización'!H186)</f>
        <v/>
      </c>
      <c r="D795" s="393" t="str">
        <f>IF(C795="","",IF('0_Datos generales organización'!J186="no","",Dades!C795))</f>
        <v/>
      </c>
      <c r="E795" s="393" t="str">
        <f>IFERROR(INDEX($D$662:$D$911,MATCH(0,INDEX(COUNTIF($E$661:E794,$D$662:$D$911),),)),"")</f>
        <v/>
      </c>
    </row>
    <row r="796" spans="2:5" x14ac:dyDescent="0.25">
      <c r="B796">
        <v>135</v>
      </c>
      <c r="C796" s="393" t="str">
        <f>IF('0_Datos generales organización'!H187="","",'0_Datos generales organización'!H187)</f>
        <v/>
      </c>
      <c r="D796" s="393" t="str">
        <f>IF(C796="","",IF('0_Datos generales organización'!J187="no","",Dades!C796))</f>
        <v/>
      </c>
      <c r="E796" s="393" t="str">
        <f>IFERROR(INDEX($D$662:$D$911,MATCH(0,INDEX(COUNTIF($E$661:E795,$D$662:$D$911),),)),"")</f>
        <v/>
      </c>
    </row>
    <row r="797" spans="2:5" x14ac:dyDescent="0.25">
      <c r="B797">
        <v>136</v>
      </c>
      <c r="C797" s="393" t="str">
        <f>IF('0_Datos generales organización'!H188="","",'0_Datos generales organización'!H188)</f>
        <v/>
      </c>
      <c r="D797" s="393" t="str">
        <f>IF(C797="","",IF('0_Datos generales organización'!J188="no","",Dades!C797))</f>
        <v/>
      </c>
      <c r="E797" s="393" t="str">
        <f>IFERROR(INDEX($D$662:$D$911,MATCH(0,INDEX(COUNTIF($E$661:E796,$D$662:$D$911),),)),"")</f>
        <v/>
      </c>
    </row>
    <row r="798" spans="2:5" x14ac:dyDescent="0.25">
      <c r="B798">
        <v>137</v>
      </c>
      <c r="C798" s="393" t="str">
        <f>IF('0_Datos generales organización'!H189="","",'0_Datos generales organización'!H189)</f>
        <v/>
      </c>
      <c r="D798" s="393" t="str">
        <f>IF(C798="","",IF('0_Datos generales organización'!J189="no","",Dades!C798))</f>
        <v/>
      </c>
      <c r="E798" s="393" t="str">
        <f>IFERROR(INDEX($D$662:$D$911,MATCH(0,INDEX(COUNTIF($E$661:E797,$D$662:$D$911),),)),"")</f>
        <v/>
      </c>
    </row>
    <row r="799" spans="2:5" x14ac:dyDescent="0.25">
      <c r="B799">
        <v>138</v>
      </c>
      <c r="C799" s="393" t="str">
        <f>IF('0_Datos generales organización'!H190="","",'0_Datos generales organización'!H190)</f>
        <v/>
      </c>
      <c r="D799" s="393" t="str">
        <f>IF(C799="","",IF('0_Datos generales organización'!J190="no","",Dades!C799))</f>
        <v/>
      </c>
      <c r="E799" s="393" t="str">
        <f>IFERROR(INDEX($D$662:$D$911,MATCH(0,INDEX(COUNTIF($E$661:E798,$D$662:$D$911),),)),"")</f>
        <v/>
      </c>
    </row>
    <row r="800" spans="2:5" x14ac:dyDescent="0.25">
      <c r="B800">
        <v>139</v>
      </c>
      <c r="C800" s="393" t="str">
        <f>IF('0_Datos generales organización'!H191="","",'0_Datos generales organización'!H191)</f>
        <v/>
      </c>
      <c r="D800" s="393" t="str">
        <f>IF(C800="","",IF('0_Datos generales organización'!J191="no","",Dades!C800))</f>
        <v/>
      </c>
      <c r="E800" s="393" t="str">
        <f>IFERROR(INDEX($D$662:$D$911,MATCH(0,INDEX(COUNTIF($E$661:E799,$D$662:$D$911),),)),"")</f>
        <v/>
      </c>
    </row>
    <row r="801" spans="2:5" x14ac:dyDescent="0.25">
      <c r="B801">
        <v>140</v>
      </c>
      <c r="C801" s="393" t="str">
        <f>IF('0_Datos generales organización'!H192="","",'0_Datos generales organización'!H192)</f>
        <v/>
      </c>
      <c r="D801" s="393" t="str">
        <f>IF(C801="","",IF('0_Datos generales organización'!J192="no","",Dades!C801))</f>
        <v/>
      </c>
      <c r="E801" s="393" t="str">
        <f>IFERROR(INDEX($D$662:$D$911,MATCH(0,INDEX(COUNTIF($E$661:E800,$D$662:$D$911),),)),"")</f>
        <v/>
      </c>
    </row>
    <row r="802" spans="2:5" x14ac:dyDescent="0.25">
      <c r="B802">
        <v>141</v>
      </c>
      <c r="C802" s="393" t="str">
        <f>IF('0_Datos generales organización'!H193="","",'0_Datos generales organización'!H193)</f>
        <v/>
      </c>
      <c r="D802" s="393" t="str">
        <f>IF(C802="","",IF('0_Datos generales organización'!J193="no","",Dades!C802))</f>
        <v/>
      </c>
      <c r="E802" s="393" t="str">
        <f>IFERROR(INDEX($D$662:$D$911,MATCH(0,INDEX(COUNTIF($E$661:E801,$D$662:$D$911),),)),"")</f>
        <v/>
      </c>
    </row>
    <row r="803" spans="2:5" x14ac:dyDescent="0.25">
      <c r="B803">
        <v>142</v>
      </c>
      <c r="C803" s="393" t="str">
        <f>IF('0_Datos generales organización'!H194="","",'0_Datos generales organización'!H194)</f>
        <v/>
      </c>
      <c r="D803" s="393" t="str">
        <f>IF(C803="","",IF('0_Datos generales organización'!J194="no","",Dades!C803))</f>
        <v/>
      </c>
      <c r="E803" s="393" t="str">
        <f>IFERROR(INDEX($D$662:$D$911,MATCH(0,INDEX(COUNTIF($E$661:E802,$D$662:$D$911),),)),"")</f>
        <v/>
      </c>
    </row>
    <row r="804" spans="2:5" x14ac:dyDescent="0.25">
      <c r="B804">
        <v>143</v>
      </c>
      <c r="C804" s="393" t="str">
        <f>IF('0_Datos generales organización'!H195="","",'0_Datos generales organización'!H195)</f>
        <v/>
      </c>
      <c r="D804" s="393" t="str">
        <f>IF(C804="","",IF('0_Datos generales organización'!J195="no","",Dades!C804))</f>
        <v/>
      </c>
      <c r="E804" s="393" t="str">
        <f>IFERROR(INDEX($D$662:$D$911,MATCH(0,INDEX(COUNTIF($E$661:E803,$D$662:$D$911),),)),"")</f>
        <v/>
      </c>
    </row>
    <row r="805" spans="2:5" x14ac:dyDescent="0.25">
      <c r="B805">
        <v>144</v>
      </c>
      <c r="C805" s="393" t="str">
        <f>IF('0_Datos generales organización'!H196="","",'0_Datos generales organización'!H196)</f>
        <v/>
      </c>
      <c r="D805" s="393" t="str">
        <f>IF(C805="","",IF('0_Datos generales organización'!J196="no","",Dades!C805))</f>
        <v/>
      </c>
      <c r="E805" s="393" t="str">
        <f>IFERROR(INDEX($D$662:$D$911,MATCH(0,INDEX(COUNTIF($E$661:E804,$D$662:$D$911),),)),"")</f>
        <v/>
      </c>
    </row>
    <row r="806" spans="2:5" x14ac:dyDescent="0.25">
      <c r="B806">
        <v>145</v>
      </c>
      <c r="C806" s="393" t="str">
        <f>IF('0_Datos generales organización'!H197="","",'0_Datos generales organización'!H197)</f>
        <v/>
      </c>
      <c r="D806" s="393" t="str">
        <f>IF(C806="","",IF('0_Datos generales organización'!J197="no","",Dades!C806))</f>
        <v/>
      </c>
      <c r="E806" s="393" t="str">
        <f>IFERROR(INDEX($D$662:$D$911,MATCH(0,INDEX(COUNTIF($E$661:E805,$D$662:$D$911),),)),"")</f>
        <v/>
      </c>
    </row>
    <row r="807" spans="2:5" x14ac:dyDescent="0.25">
      <c r="B807">
        <v>146</v>
      </c>
      <c r="C807" s="393" t="str">
        <f>IF('0_Datos generales organización'!H198="","",'0_Datos generales organización'!H198)</f>
        <v/>
      </c>
      <c r="D807" s="393" t="str">
        <f>IF(C807="","",IF('0_Datos generales organización'!J198="no","",Dades!C807))</f>
        <v/>
      </c>
      <c r="E807" s="393" t="str">
        <f>IFERROR(INDEX($D$662:$D$911,MATCH(0,INDEX(COUNTIF($E$661:E806,$D$662:$D$911),),)),"")</f>
        <v/>
      </c>
    </row>
    <row r="808" spans="2:5" x14ac:dyDescent="0.25">
      <c r="B808">
        <v>147</v>
      </c>
      <c r="C808" s="393" t="str">
        <f>IF('0_Datos generales organización'!H199="","",'0_Datos generales organización'!H199)</f>
        <v/>
      </c>
      <c r="D808" s="393" t="str">
        <f>IF(C808="","",IF('0_Datos generales organización'!J199="no","",Dades!C808))</f>
        <v/>
      </c>
      <c r="E808" s="393" t="str">
        <f>IFERROR(INDEX($D$662:$D$911,MATCH(0,INDEX(COUNTIF($E$661:E807,$D$662:$D$911),),)),"")</f>
        <v/>
      </c>
    </row>
    <row r="809" spans="2:5" x14ac:dyDescent="0.25">
      <c r="B809">
        <v>148</v>
      </c>
      <c r="C809" s="393" t="str">
        <f>IF('0_Datos generales organización'!H200="","",'0_Datos generales organización'!H200)</f>
        <v/>
      </c>
      <c r="D809" s="393" t="str">
        <f>IF(C809="","",IF('0_Datos generales organización'!J200="no","",Dades!C809))</f>
        <v/>
      </c>
      <c r="E809" s="393" t="str">
        <f>IFERROR(INDEX($D$662:$D$911,MATCH(0,INDEX(COUNTIF($E$661:E808,$D$662:$D$911),),)),"")</f>
        <v/>
      </c>
    </row>
    <row r="810" spans="2:5" x14ac:dyDescent="0.25">
      <c r="B810">
        <v>149</v>
      </c>
      <c r="C810" s="393" t="str">
        <f>IF('0_Datos generales organización'!H201="","",'0_Datos generales organización'!H201)</f>
        <v/>
      </c>
      <c r="D810" s="393" t="str">
        <f>IF(C810="","",IF('0_Datos generales organización'!J201="no","",Dades!C810))</f>
        <v/>
      </c>
      <c r="E810" s="393" t="str">
        <f>IFERROR(INDEX($D$662:$D$911,MATCH(0,INDEX(COUNTIF($E$661:E809,$D$662:$D$911),),)),"")</f>
        <v/>
      </c>
    </row>
    <row r="811" spans="2:5" x14ac:dyDescent="0.25">
      <c r="B811">
        <v>150</v>
      </c>
      <c r="C811" s="393" t="str">
        <f>IF('0_Datos generales organización'!H202="","",'0_Datos generales organización'!H202)</f>
        <v/>
      </c>
      <c r="D811" s="393" t="str">
        <f>IF(C811="","",IF('0_Datos generales organización'!J202="no","",Dades!C811))</f>
        <v/>
      </c>
      <c r="E811" s="393" t="str">
        <f>IFERROR(INDEX($D$662:$D$911,MATCH(0,INDEX(COUNTIF($E$661:E810,$D$662:$D$911),),)),"")</f>
        <v/>
      </c>
    </row>
    <row r="812" spans="2:5" x14ac:dyDescent="0.25">
      <c r="B812">
        <v>151</v>
      </c>
      <c r="C812" s="393" t="str">
        <f>IF('0_Datos generales organización'!H203="","",'0_Datos generales organización'!H203)</f>
        <v/>
      </c>
      <c r="D812" s="393" t="str">
        <f>IF(C812="","",IF('0_Datos generales organización'!J203="no","",Dades!C812))</f>
        <v/>
      </c>
      <c r="E812" s="393" t="str">
        <f>IFERROR(INDEX($D$662:$D$911,MATCH(0,INDEX(COUNTIF($E$661:E811,$D$662:$D$911),),)),"")</f>
        <v/>
      </c>
    </row>
    <row r="813" spans="2:5" x14ac:dyDescent="0.25">
      <c r="B813">
        <v>152</v>
      </c>
      <c r="C813" s="393" t="str">
        <f>IF('0_Datos generales organización'!H204="","",'0_Datos generales organización'!H204)</f>
        <v/>
      </c>
      <c r="D813" s="393" t="str">
        <f>IF(C813="","",IF('0_Datos generales organización'!J204="no","",Dades!C813))</f>
        <v/>
      </c>
      <c r="E813" s="393" t="str">
        <f>IFERROR(INDEX($D$662:$D$911,MATCH(0,INDEX(COUNTIF($E$661:E812,$D$662:$D$911),),)),"")</f>
        <v/>
      </c>
    </row>
    <row r="814" spans="2:5" x14ac:dyDescent="0.25">
      <c r="B814">
        <v>153</v>
      </c>
      <c r="C814" s="393" t="str">
        <f>IF('0_Datos generales organización'!H205="","",'0_Datos generales organización'!H205)</f>
        <v/>
      </c>
      <c r="D814" s="393" t="str">
        <f>IF(C814="","",IF('0_Datos generales organización'!J205="no","",Dades!C814))</f>
        <v/>
      </c>
      <c r="E814" s="393" t="str">
        <f>IFERROR(INDEX($D$662:$D$911,MATCH(0,INDEX(COUNTIF($E$661:E813,$D$662:$D$911),),)),"")</f>
        <v/>
      </c>
    </row>
    <row r="815" spans="2:5" x14ac:dyDescent="0.25">
      <c r="B815">
        <v>154</v>
      </c>
      <c r="C815" s="393" t="str">
        <f>IF('0_Datos generales organización'!H206="","",'0_Datos generales organización'!H206)</f>
        <v/>
      </c>
      <c r="D815" s="393" t="str">
        <f>IF(C815="","",IF('0_Datos generales organización'!J206="no","",Dades!C815))</f>
        <v/>
      </c>
      <c r="E815" s="393" t="str">
        <f>IFERROR(INDEX($D$662:$D$911,MATCH(0,INDEX(COUNTIF($E$661:E814,$D$662:$D$911),),)),"")</f>
        <v/>
      </c>
    </row>
    <row r="816" spans="2:5" x14ac:dyDescent="0.25">
      <c r="B816">
        <v>155</v>
      </c>
      <c r="C816" s="393" t="str">
        <f>IF('0_Datos generales organización'!H207="","",'0_Datos generales organización'!H207)</f>
        <v/>
      </c>
      <c r="D816" s="393" t="str">
        <f>IF(C816="","",IF('0_Datos generales organización'!J207="no","",Dades!C816))</f>
        <v/>
      </c>
      <c r="E816" s="393" t="str">
        <f>IFERROR(INDEX($D$662:$D$911,MATCH(0,INDEX(COUNTIF($E$661:E815,$D$662:$D$911),),)),"")</f>
        <v/>
      </c>
    </row>
    <row r="817" spans="2:5" x14ac:dyDescent="0.25">
      <c r="B817">
        <v>156</v>
      </c>
      <c r="C817" s="393" t="str">
        <f>IF('0_Datos generales organización'!H208="","",'0_Datos generales organización'!H208)</f>
        <v/>
      </c>
      <c r="D817" s="393" t="str">
        <f>IF(C817="","",IF('0_Datos generales organización'!J208="no","",Dades!C817))</f>
        <v/>
      </c>
      <c r="E817" s="393" t="str">
        <f>IFERROR(INDEX($D$662:$D$911,MATCH(0,INDEX(COUNTIF($E$661:E816,$D$662:$D$911),),)),"")</f>
        <v/>
      </c>
    </row>
    <row r="818" spans="2:5" x14ac:dyDescent="0.25">
      <c r="B818">
        <v>157</v>
      </c>
      <c r="C818" s="393" t="str">
        <f>IF('0_Datos generales organización'!H209="","",'0_Datos generales organización'!H209)</f>
        <v/>
      </c>
      <c r="D818" s="393" t="str">
        <f>IF(C818="","",IF('0_Datos generales organización'!J209="no","",Dades!C818))</f>
        <v/>
      </c>
      <c r="E818" s="393" t="str">
        <f>IFERROR(INDEX($D$662:$D$911,MATCH(0,INDEX(COUNTIF($E$661:E817,$D$662:$D$911),),)),"")</f>
        <v/>
      </c>
    </row>
    <row r="819" spans="2:5" x14ac:dyDescent="0.25">
      <c r="B819">
        <v>158</v>
      </c>
      <c r="C819" s="393" t="str">
        <f>IF('0_Datos generales organización'!H210="","",'0_Datos generales organización'!H210)</f>
        <v/>
      </c>
      <c r="D819" s="393" t="str">
        <f>IF(C819="","",IF('0_Datos generales organización'!J210="no","",Dades!C819))</f>
        <v/>
      </c>
      <c r="E819" s="393" t="str">
        <f>IFERROR(INDEX($D$662:$D$911,MATCH(0,INDEX(COUNTIF($E$661:E818,$D$662:$D$911),),)),"")</f>
        <v/>
      </c>
    </row>
    <row r="820" spans="2:5" x14ac:dyDescent="0.25">
      <c r="B820">
        <v>159</v>
      </c>
      <c r="C820" s="393" t="str">
        <f>IF('0_Datos generales organización'!H211="","",'0_Datos generales organización'!H211)</f>
        <v/>
      </c>
      <c r="D820" s="393" t="str">
        <f>IF(C820="","",IF('0_Datos generales organización'!J211="no","",Dades!C820))</f>
        <v/>
      </c>
      <c r="E820" s="393" t="str">
        <f>IFERROR(INDEX($D$662:$D$911,MATCH(0,INDEX(COUNTIF($E$661:E819,$D$662:$D$911),),)),"")</f>
        <v/>
      </c>
    </row>
    <row r="821" spans="2:5" x14ac:dyDescent="0.25">
      <c r="B821">
        <v>160</v>
      </c>
      <c r="C821" s="393" t="str">
        <f>IF('0_Datos generales organización'!H212="","",'0_Datos generales organización'!H212)</f>
        <v/>
      </c>
      <c r="D821" s="393" t="str">
        <f>IF(C821="","",IF('0_Datos generales organización'!J212="no","",Dades!C821))</f>
        <v/>
      </c>
      <c r="E821" s="393" t="str">
        <f>IFERROR(INDEX($D$662:$D$911,MATCH(0,INDEX(COUNTIF($E$661:E820,$D$662:$D$911),),)),"")</f>
        <v/>
      </c>
    </row>
    <row r="822" spans="2:5" x14ac:dyDescent="0.25">
      <c r="B822">
        <v>161</v>
      </c>
      <c r="C822" s="393" t="str">
        <f>IF('0_Datos generales organización'!H213="","",'0_Datos generales organización'!H213)</f>
        <v/>
      </c>
      <c r="D822" s="393" t="str">
        <f>IF(C822="","",IF('0_Datos generales organización'!J213="no","",Dades!C822))</f>
        <v/>
      </c>
      <c r="E822" s="393" t="str">
        <f>IFERROR(INDEX($D$662:$D$911,MATCH(0,INDEX(COUNTIF($E$661:E821,$D$662:$D$911),),)),"")</f>
        <v/>
      </c>
    </row>
    <row r="823" spans="2:5" x14ac:dyDescent="0.25">
      <c r="B823">
        <v>162</v>
      </c>
      <c r="C823" s="393" t="str">
        <f>IF('0_Datos generales organización'!H214="","",'0_Datos generales organización'!H214)</f>
        <v/>
      </c>
      <c r="D823" s="393" t="str">
        <f>IF(C823="","",IF('0_Datos generales organización'!J214="no","",Dades!C823))</f>
        <v/>
      </c>
      <c r="E823" s="393" t="str">
        <f>IFERROR(INDEX($D$662:$D$911,MATCH(0,INDEX(COUNTIF($E$661:E822,$D$662:$D$911),),)),"")</f>
        <v/>
      </c>
    </row>
    <row r="824" spans="2:5" x14ac:dyDescent="0.25">
      <c r="B824">
        <v>163</v>
      </c>
      <c r="C824" s="393" t="str">
        <f>IF('0_Datos generales organización'!H215="","",'0_Datos generales organización'!H215)</f>
        <v/>
      </c>
      <c r="D824" s="393" t="str">
        <f>IF(C824="","",IF('0_Datos generales organización'!J215="no","",Dades!C824))</f>
        <v/>
      </c>
      <c r="E824" s="393" t="str">
        <f>IFERROR(INDEX($D$662:$D$911,MATCH(0,INDEX(COUNTIF($E$661:E823,$D$662:$D$911),),)),"")</f>
        <v/>
      </c>
    </row>
    <row r="825" spans="2:5" x14ac:dyDescent="0.25">
      <c r="B825">
        <v>164</v>
      </c>
      <c r="C825" s="393" t="str">
        <f>IF('0_Datos generales organización'!H216="","",'0_Datos generales organización'!H216)</f>
        <v/>
      </c>
      <c r="D825" s="393" t="str">
        <f>IF(C825="","",IF('0_Datos generales organización'!J216="no","",Dades!C825))</f>
        <v/>
      </c>
      <c r="E825" s="393" t="str">
        <f>IFERROR(INDEX($D$662:$D$911,MATCH(0,INDEX(COUNTIF($E$661:E824,$D$662:$D$911),),)),"")</f>
        <v/>
      </c>
    </row>
    <row r="826" spans="2:5" x14ac:dyDescent="0.25">
      <c r="B826">
        <v>165</v>
      </c>
      <c r="C826" s="393" t="str">
        <f>IF('0_Datos generales organización'!H217="","",'0_Datos generales organización'!H217)</f>
        <v/>
      </c>
      <c r="D826" s="393" t="str">
        <f>IF(C826="","",IF('0_Datos generales organización'!J217="no","",Dades!C826))</f>
        <v/>
      </c>
      <c r="E826" s="393" t="str">
        <f>IFERROR(INDEX($D$662:$D$911,MATCH(0,INDEX(COUNTIF($E$661:E825,$D$662:$D$911),),)),"")</f>
        <v/>
      </c>
    </row>
    <row r="827" spans="2:5" x14ac:dyDescent="0.25">
      <c r="B827">
        <v>166</v>
      </c>
      <c r="C827" s="393" t="str">
        <f>IF('0_Datos generales organización'!H218="","",'0_Datos generales organización'!H218)</f>
        <v/>
      </c>
      <c r="D827" s="393" t="str">
        <f>IF(C827="","",IF('0_Datos generales organización'!J218="no","",Dades!C827))</f>
        <v/>
      </c>
      <c r="E827" s="393" t="str">
        <f>IFERROR(INDEX($D$662:$D$911,MATCH(0,INDEX(COUNTIF($E$661:E826,$D$662:$D$911),),)),"")</f>
        <v/>
      </c>
    </row>
    <row r="828" spans="2:5" x14ac:dyDescent="0.25">
      <c r="B828">
        <v>167</v>
      </c>
      <c r="C828" s="393" t="str">
        <f>IF('0_Datos generales organización'!H219="","",'0_Datos generales organización'!H219)</f>
        <v/>
      </c>
      <c r="D828" s="393" t="str">
        <f>IF(C828="","",IF('0_Datos generales organización'!J219="no","",Dades!C828))</f>
        <v/>
      </c>
      <c r="E828" s="393" t="str">
        <f>IFERROR(INDEX($D$662:$D$911,MATCH(0,INDEX(COUNTIF($E$661:E827,$D$662:$D$911),),)),"")</f>
        <v/>
      </c>
    </row>
    <row r="829" spans="2:5" x14ac:dyDescent="0.25">
      <c r="B829">
        <v>168</v>
      </c>
      <c r="C829" s="393" t="str">
        <f>IF('0_Datos generales organización'!H220="","",'0_Datos generales organización'!H220)</f>
        <v/>
      </c>
      <c r="D829" s="393" t="str">
        <f>IF(C829="","",IF('0_Datos generales organización'!J220="no","",Dades!C829))</f>
        <v/>
      </c>
      <c r="E829" s="393" t="str">
        <f>IFERROR(INDEX($D$662:$D$911,MATCH(0,INDEX(COUNTIF($E$661:E828,$D$662:$D$911),),)),"")</f>
        <v/>
      </c>
    </row>
    <row r="830" spans="2:5" x14ac:dyDescent="0.25">
      <c r="B830">
        <v>169</v>
      </c>
      <c r="C830" s="393" t="str">
        <f>IF('0_Datos generales organización'!H221="","",'0_Datos generales organización'!H221)</f>
        <v/>
      </c>
      <c r="D830" s="393" t="str">
        <f>IF(C830="","",IF('0_Datos generales organización'!J221="no","",Dades!C830))</f>
        <v/>
      </c>
      <c r="E830" s="393" t="str">
        <f>IFERROR(INDEX($D$662:$D$911,MATCH(0,INDEX(COUNTIF($E$661:E829,$D$662:$D$911),),)),"")</f>
        <v/>
      </c>
    </row>
    <row r="831" spans="2:5" x14ac:dyDescent="0.25">
      <c r="B831">
        <v>170</v>
      </c>
      <c r="C831" s="393" t="str">
        <f>IF('0_Datos generales organización'!H222="","",'0_Datos generales organización'!H222)</f>
        <v/>
      </c>
      <c r="D831" s="393" t="str">
        <f>IF(C831="","",IF('0_Datos generales organización'!J222="no","",Dades!C831))</f>
        <v/>
      </c>
      <c r="E831" s="393" t="str">
        <f>IFERROR(INDEX($D$662:$D$911,MATCH(0,INDEX(COUNTIF($E$661:E830,$D$662:$D$911),),)),"")</f>
        <v/>
      </c>
    </row>
    <row r="832" spans="2:5" x14ac:dyDescent="0.25">
      <c r="B832">
        <v>171</v>
      </c>
      <c r="C832" s="393" t="str">
        <f>IF('0_Datos generales organización'!H223="","",'0_Datos generales organización'!H223)</f>
        <v/>
      </c>
      <c r="D832" s="393" t="str">
        <f>IF(C832="","",IF('0_Datos generales organización'!J223="no","",Dades!C832))</f>
        <v/>
      </c>
      <c r="E832" s="393" t="str">
        <f>IFERROR(INDEX($D$662:$D$911,MATCH(0,INDEX(COUNTIF($E$661:E831,$D$662:$D$911),),)),"")</f>
        <v/>
      </c>
    </row>
    <row r="833" spans="2:5" x14ac:dyDescent="0.25">
      <c r="B833">
        <v>172</v>
      </c>
      <c r="C833" s="393" t="str">
        <f>IF('0_Datos generales organización'!H224="","",'0_Datos generales organización'!H224)</f>
        <v/>
      </c>
      <c r="D833" s="393" t="str">
        <f>IF(C833="","",IF('0_Datos generales organización'!J224="no","",Dades!C833))</f>
        <v/>
      </c>
      <c r="E833" s="393" t="str">
        <f>IFERROR(INDEX($D$662:$D$911,MATCH(0,INDEX(COUNTIF($E$661:E832,$D$662:$D$911),),)),"")</f>
        <v/>
      </c>
    </row>
    <row r="834" spans="2:5" x14ac:dyDescent="0.25">
      <c r="B834">
        <v>173</v>
      </c>
      <c r="C834" s="393" t="str">
        <f>IF('0_Datos generales organización'!H225="","",'0_Datos generales organización'!H225)</f>
        <v/>
      </c>
      <c r="D834" s="393" t="str">
        <f>IF(C834="","",IF('0_Datos generales organización'!J225="no","",Dades!C834))</f>
        <v/>
      </c>
      <c r="E834" s="393" t="str">
        <f>IFERROR(INDEX($D$662:$D$911,MATCH(0,INDEX(COUNTIF($E$661:E833,$D$662:$D$911),),)),"")</f>
        <v/>
      </c>
    </row>
    <row r="835" spans="2:5" x14ac:dyDescent="0.25">
      <c r="B835">
        <v>174</v>
      </c>
      <c r="C835" s="393" t="str">
        <f>IF('0_Datos generales organización'!H226="","",'0_Datos generales organización'!H226)</f>
        <v/>
      </c>
      <c r="D835" s="393" t="str">
        <f>IF(C835="","",IF('0_Datos generales organización'!J226="no","",Dades!C835))</f>
        <v/>
      </c>
      <c r="E835" s="393" t="str">
        <f>IFERROR(INDEX($D$662:$D$911,MATCH(0,INDEX(COUNTIF($E$661:E834,$D$662:$D$911),),)),"")</f>
        <v/>
      </c>
    </row>
    <row r="836" spans="2:5" x14ac:dyDescent="0.25">
      <c r="B836">
        <v>175</v>
      </c>
      <c r="C836" s="393" t="str">
        <f>IF('0_Datos generales organización'!H227="","",'0_Datos generales organización'!H227)</f>
        <v/>
      </c>
      <c r="D836" s="393" t="str">
        <f>IF(C836="","",IF('0_Datos generales organización'!J227="no","",Dades!C836))</f>
        <v/>
      </c>
      <c r="E836" s="393" t="str">
        <f>IFERROR(INDEX($D$662:$D$911,MATCH(0,INDEX(COUNTIF($E$661:E835,$D$662:$D$911),),)),"")</f>
        <v/>
      </c>
    </row>
    <row r="837" spans="2:5" x14ac:dyDescent="0.25">
      <c r="B837">
        <v>176</v>
      </c>
      <c r="C837" s="393" t="str">
        <f>IF('0_Datos generales organización'!H228="","",'0_Datos generales organización'!H228)</f>
        <v/>
      </c>
      <c r="D837" s="393" t="str">
        <f>IF(C837="","",IF('0_Datos generales organización'!J228="no","",Dades!C837))</f>
        <v/>
      </c>
      <c r="E837" s="393" t="str">
        <f>IFERROR(INDEX($D$662:$D$911,MATCH(0,INDEX(COUNTIF($E$661:E836,$D$662:$D$911),),)),"")</f>
        <v/>
      </c>
    </row>
    <row r="838" spans="2:5" x14ac:dyDescent="0.25">
      <c r="B838">
        <v>177</v>
      </c>
      <c r="C838" s="393" t="str">
        <f>IF('0_Datos generales organización'!H229="","",'0_Datos generales organización'!H229)</f>
        <v/>
      </c>
      <c r="D838" s="393" t="str">
        <f>IF(C838="","",IF('0_Datos generales organización'!J229="no","",Dades!C838))</f>
        <v/>
      </c>
      <c r="E838" s="393" t="str">
        <f>IFERROR(INDEX($D$662:$D$911,MATCH(0,INDEX(COUNTIF($E$661:E837,$D$662:$D$911),),)),"")</f>
        <v/>
      </c>
    </row>
    <row r="839" spans="2:5" x14ac:dyDescent="0.25">
      <c r="B839">
        <v>178</v>
      </c>
      <c r="C839" s="393" t="str">
        <f>IF('0_Datos generales organización'!H230="","",'0_Datos generales organización'!H230)</f>
        <v/>
      </c>
      <c r="D839" s="393" t="str">
        <f>IF(C839="","",IF('0_Datos generales organización'!J230="no","",Dades!C839))</f>
        <v/>
      </c>
      <c r="E839" s="393" t="str">
        <f>IFERROR(INDEX($D$662:$D$911,MATCH(0,INDEX(COUNTIF($E$661:E838,$D$662:$D$911),),)),"")</f>
        <v/>
      </c>
    </row>
    <row r="840" spans="2:5" x14ac:dyDescent="0.25">
      <c r="B840">
        <v>179</v>
      </c>
      <c r="C840" s="393" t="str">
        <f>IF('0_Datos generales organización'!H231="","",'0_Datos generales organización'!H231)</f>
        <v/>
      </c>
      <c r="D840" s="393" t="str">
        <f>IF(C840="","",IF('0_Datos generales organización'!J231="no","",Dades!C840))</f>
        <v/>
      </c>
      <c r="E840" s="393" t="str">
        <f>IFERROR(INDEX($D$662:$D$911,MATCH(0,INDEX(COUNTIF($E$661:E839,$D$662:$D$911),),)),"")</f>
        <v/>
      </c>
    </row>
    <row r="841" spans="2:5" x14ac:dyDescent="0.25">
      <c r="B841">
        <v>180</v>
      </c>
      <c r="C841" s="393" t="str">
        <f>IF('0_Datos generales organización'!H232="","",'0_Datos generales organización'!H232)</f>
        <v/>
      </c>
      <c r="D841" s="393" t="str">
        <f>IF(C841="","",IF('0_Datos generales organización'!J232="no","",Dades!C841))</f>
        <v/>
      </c>
      <c r="E841" s="393" t="str">
        <f>IFERROR(INDEX($D$662:$D$911,MATCH(0,INDEX(COUNTIF($E$661:E840,$D$662:$D$911),),)),"")</f>
        <v/>
      </c>
    </row>
    <row r="842" spans="2:5" x14ac:dyDescent="0.25">
      <c r="B842">
        <v>181</v>
      </c>
      <c r="C842" s="393" t="str">
        <f>IF('0_Datos generales organización'!H233="","",'0_Datos generales organización'!H233)</f>
        <v/>
      </c>
      <c r="D842" s="393" t="str">
        <f>IF(C842="","",IF('0_Datos generales organización'!J233="no","",Dades!C842))</f>
        <v/>
      </c>
      <c r="E842" s="393" t="str">
        <f>IFERROR(INDEX($D$662:$D$911,MATCH(0,INDEX(COUNTIF($E$661:E841,$D$662:$D$911),),)),"")</f>
        <v/>
      </c>
    </row>
    <row r="843" spans="2:5" x14ac:dyDescent="0.25">
      <c r="B843">
        <v>182</v>
      </c>
      <c r="C843" s="393" t="str">
        <f>IF('0_Datos generales organización'!H234="","",'0_Datos generales organización'!H234)</f>
        <v/>
      </c>
      <c r="D843" s="393" t="str">
        <f>IF(C843="","",IF('0_Datos generales organización'!J234="no","",Dades!C843))</f>
        <v/>
      </c>
      <c r="E843" s="393" t="str">
        <f>IFERROR(INDEX($D$662:$D$911,MATCH(0,INDEX(COUNTIF($E$661:E842,$D$662:$D$911),),)),"")</f>
        <v/>
      </c>
    </row>
    <row r="844" spans="2:5" x14ac:dyDescent="0.25">
      <c r="B844">
        <v>183</v>
      </c>
      <c r="C844" s="393" t="str">
        <f>IF('0_Datos generales organización'!H235="","",'0_Datos generales organización'!H235)</f>
        <v/>
      </c>
      <c r="D844" s="393" t="str">
        <f>IF(C844="","",IF('0_Datos generales organización'!J235="no","",Dades!C844))</f>
        <v/>
      </c>
      <c r="E844" s="393" t="str">
        <f>IFERROR(INDEX($D$662:$D$911,MATCH(0,INDEX(COUNTIF($E$661:E843,$D$662:$D$911),),)),"")</f>
        <v/>
      </c>
    </row>
    <row r="845" spans="2:5" x14ac:dyDescent="0.25">
      <c r="B845">
        <v>184</v>
      </c>
      <c r="C845" s="393" t="str">
        <f>IF('0_Datos generales organización'!H236="","",'0_Datos generales organización'!H236)</f>
        <v/>
      </c>
      <c r="D845" s="393" t="str">
        <f>IF(C845="","",IF('0_Datos generales organización'!J236="no","",Dades!C845))</f>
        <v/>
      </c>
      <c r="E845" s="393" t="str">
        <f>IFERROR(INDEX($D$662:$D$911,MATCH(0,INDEX(COUNTIF($E$661:E844,$D$662:$D$911),),)),"")</f>
        <v/>
      </c>
    </row>
    <row r="846" spans="2:5" x14ac:dyDescent="0.25">
      <c r="B846">
        <v>185</v>
      </c>
      <c r="C846" s="393" t="str">
        <f>IF('0_Datos generales organización'!H237="","",'0_Datos generales organización'!H237)</f>
        <v/>
      </c>
      <c r="D846" s="393" t="str">
        <f>IF(C846="","",IF('0_Datos generales organización'!J237="no","",Dades!C846))</f>
        <v/>
      </c>
      <c r="E846" s="393" t="str">
        <f>IFERROR(INDEX($D$662:$D$911,MATCH(0,INDEX(COUNTIF($E$661:E845,$D$662:$D$911),),)),"")</f>
        <v/>
      </c>
    </row>
    <row r="847" spans="2:5" x14ac:dyDescent="0.25">
      <c r="B847">
        <v>186</v>
      </c>
      <c r="C847" s="393" t="str">
        <f>IF('0_Datos generales organización'!H238="","",'0_Datos generales organización'!H238)</f>
        <v/>
      </c>
      <c r="D847" s="393" t="str">
        <f>IF(C847="","",IF('0_Datos generales organización'!J238="no","",Dades!C847))</f>
        <v/>
      </c>
      <c r="E847" s="393" t="str">
        <f>IFERROR(INDEX($D$662:$D$911,MATCH(0,INDEX(COUNTIF($E$661:E846,$D$662:$D$911),),)),"")</f>
        <v/>
      </c>
    </row>
    <row r="848" spans="2:5" x14ac:dyDescent="0.25">
      <c r="B848">
        <v>187</v>
      </c>
      <c r="C848" s="393" t="str">
        <f>IF('0_Datos generales organización'!H239="","",'0_Datos generales organización'!H239)</f>
        <v/>
      </c>
      <c r="D848" s="393" t="str">
        <f>IF(C848="","",IF('0_Datos generales organización'!J239="no","",Dades!C848))</f>
        <v/>
      </c>
      <c r="E848" s="393" t="str">
        <f>IFERROR(INDEX($D$662:$D$911,MATCH(0,INDEX(COUNTIF($E$661:E847,$D$662:$D$911),),)),"")</f>
        <v/>
      </c>
    </row>
    <row r="849" spans="2:5" x14ac:dyDescent="0.25">
      <c r="B849">
        <v>188</v>
      </c>
      <c r="C849" s="393" t="str">
        <f>IF('0_Datos generales organización'!H240="","",'0_Datos generales organización'!H240)</f>
        <v/>
      </c>
      <c r="D849" s="393" t="str">
        <f>IF(C849="","",IF('0_Datos generales organización'!J240="no","",Dades!C849))</f>
        <v/>
      </c>
      <c r="E849" s="393" t="str">
        <f>IFERROR(INDEX($D$662:$D$911,MATCH(0,INDEX(COUNTIF($E$661:E848,$D$662:$D$911),),)),"")</f>
        <v/>
      </c>
    </row>
    <row r="850" spans="2:5" x14ac:dyDescent="0.25">
      <c r="B850">
        <v>189</v>
      </c>
      <c r="C850" s="393" t="str">
        <f>IF('0_Datos generales organización'!H241="","",'0_Datos generales organización'!H241)</f>
        <v/>
      </c>
      <c r="D850" s="393" t="str">
        <f>IF(C850="","",IF('0_Datos generales organización'!J241="no","",Dades!C850))</f>
        <v/>
      </c>
      <c r="E850" s="393" t="str">
        <f>IFERROR(INDEX($D$662:$D$911,MATCH(0,INDEX(COUNTIF($E$661:E849,$D$662:$D$911),),)),"")</f>
        <v/>
      </c>
    </row>
    <row r="851" spans="2:5" x14ac:dyDescent="0.25">
      <c r="B851">
        <v>190</v>
      </c>
      <c r="C851" s="393" t="str">
        <f>IF('0_Datos generales organización'!H242="","",'0_Datos generales organización'!H242)</f>
        <v/>
      </c>
      <c r="D851" s="393" t="str">
        <f>IF(C851="","",IF('0_Datos generales organización'!J242="no","",Dades!C851))</f>
        <v/>
      </c>
      <c r="E851" s="393" t="str">
        <f>IFERROR(INDEX($D$662:$D$911,MATCH(0,INDEX(COUNTIF($E$661:E850,$D$662:$D$911),),)),"")</f>
        <v/>
      </c>
    </row>
    <row r="852" spans="2:5" x14ac:dyDescent="0.25">
      <c r="B852">
        <v>191</v>
      </c>
      <c r="C852" s="393" t="str">
        <f>IF('0_Datos generales organización'!H243="","",'0_Datos generales organización'!H243)</f>
        <v/>
      </c>
      <c r="D852" s="393" t="str">
        <f>IF(C852="","",IF('0_Datos generales organización'!J243="no","",Dades!C852))</f>
        <v/>
      </c>
      <c r="E852" s="393" t="str">
        <f>IFERROR(INDEX($D$662:$D$911,MATCH(0,INDEX(COUNTIF($E$661:E851,$D$662:$D$911),),)),"")</f>
        <v/>
      </c>
    </row>
    <row r="853" spans="2:5" x14ac:dyDescent="0.25">
      <c r="B853">
        <v>192</v>
      </c>
      <c r="C853" s="393" t="str">
        <f>IF('0_Datos generales organización'!H244="","",'0_Datos generales organización'!H244)</f>
        <v/>
      </c>
      <c r="D853" s="393" t="str">
        <f>IF(C853="","",IF('0_Datos generales organización'!J244="no","",Dades!C853))</f>
        <v/>
      </c>
      <c r="E853" s="393" t="str">
        <f>IFERROR(INDEX($D$662:$D$911,MATCH(0,INDEX(COUNTIF($E$661:E852,$D$662:$D$911),),)),"")</f>
        <v/>
      </c>
    </row>
    <row r="854" spans="2:5" x14ac:dyDescent="0.25">
      <c r="B854">
        <v>193</v>
      </c>
      <c r="C854" s="393" t="str">
        <f>IF('0_Datos generales organización'!H245="","",'0_Datos generales organización'!H245)</f>
        <v/>
      </c>
      <c r="D854" s="393" t="str">
        <f>IF(C854="","",IF('0_Datos generales organización'!J245="no","",Dades!C854))</f>
        <v/>
      </c>
      <c r="E854" s="393" t="str">
        <f>IFERROR(INDEX($D$662:$D$911,MATCH(0,INDEX(COUNTIF($E$661:E853,$D$662:$D$911),),)),"")</f>
        <v/>
      </c>
    </row>
    <row r="855" spans="2:5" x14ac:dyDescent="0.25">
      <c r="B855">
        <v>194</v>
      </c>
      <c r="C855" s="393" t="str">
        <f>IF('0_Datos generales organización'!H246="","",'0_Datos generales organización'!H246)</f>
        <v/>
      </c>
      <c r="D855" s="393" t="str">
        <f>IF(C855="","",IF('0_Datos generales organización'!J246="no","",Dades!C855))</f>
        <v/>
      </c>
      <c r="E855" s="393" t="str">
        <f>IFERROR(INDEX($D$662:$D$911,MATCH(0,INDEX(COUNTIF($E$661:E854,$D$662:$D$911),),)),"")</f>
        <v/>
      </c>
    </row>
    <row r="856" spans="2:5" x14ac:dyDescent="0.25">
      <c r="B856">
        <v>195</v>
      </c>
      <c r="C856" s="393" t="str">
        <f>IF('0_Datos generales organización'!H247="","",'0_Datos generales organización'!H247)</f>
        <v/>
      </c>
      <c r="D856" s="393" t="str">
        <f>IF(C856="","",IF('0_Datos generales organización'!J247="no","",Dades!C856))</f>
        <v/>
      </c>
      <c r="E856" s="393" t="str">
        <f>IFERROR(INDEX($D$662:$D$911,MATCH(0,INDEX(COUNTIF($E$661:E855,$D$662:$D$911),),)),"")</f>
        <v/>
      </c>
    </row>
    <row r="857" spans="2:5" x14ac:dyDescent="0.25">
      <c r="B857">
        <v>196</v>
      </c>
      <c r="C857" s="393" t="str">
        <f>IF('0_Datos generales organización'!H248="","",'0_Datos generales organización'!H248)</f>
        <v/>
      </c>
      <c r="D857" s="393" t="str">
        <f>IF(C857="","",IF('0_Datos generales organización'!J248="no","",Dades!C857))</f>
        <v/>
      </c>
      <c r="E857" s="393" t="str">
        <f>IFERROR(INDEX($D$662:$D$911,MATCH(0,INDEX(COUNTIF($E$661:E856,$D$662:$D$911),),)),"")</f>
        <v/>
      </c>
    </row>
    <row r="858" spans="2:5" x14ac:dyDescent="0.25">
      <c r="B858">
        <v>197</v>
      </c>
      <c r="C858" s="393" t="str">
        <f>IF('0_Datos generales organización'!H249="","",'0_Datos generales organización'!H249)</f>
        <v/>
      </c>
      <c r="D858" s="393" t="str">
        <f>IF(C858="","",IF('0_Datos generales organización'!J249="no","",Dades!C858))</f>
        <v/>
      </c>
      <c r="E858" s="393" t="str">
        <f>IFERROR(INDEX($D$662:$D$911,MATCH(0,INDEX(COUNTIF($E$661:E857,$D$662:$D$911),),)),"")</f>
        <v/>
      </c>
    </row>
    <row r="859" spans="2:5" x14ac:dyDescent="0.25">
      <c r="B859">
        <v>198</v>
      </c>
      <c r="C859" s="393" t="str">
        <f>IF('0_Datos generales organización'!H250="","",'0_Datos generales organización'!H250)</f>
        <v/>
      </c>
      <c r="D859" s="393" t="str">
        <f>IF(C859="","",IF('0_Datos generales organización'!J250="no","",Dades!C859))</f>
        <v/>
      </c>
      <c r="E859" s="393" t="str">
        <f>IFERROR(INDEX($D$662:$D$911,MATCH(0,INDEX(COUNTIF($E$661:E858,$D$662:$D$911),),)),"")</f>
        <v/>
      </c>
    </row>
    <row r="860" spans="2:5" x14ac:dyDescent="0.25">
      <c r="B860">
        <v>199</v>
      </c>
      <c r="C860" s="393" t="str">
        <f>IF('0_Datos generales organización'!H251="","",'0_Datos generales organización'!H251)</f>
        <v/>
      </c>
      <c r="D860" s="393" t="str">
        <f>IF(C860="","",IF('0_Datos generales organización'!J251="no","",Dades!C860))</f>
        <v/>
      </c>
      <c r="E860" s="393" t="str">
        <f>IFERROR(INDEX($D$662:$D$911,MATCH(0,INDEX(COUNTIF($E$661:E859,$D$662:$D$911),),)),"")</f>
        <v/>
      </c>
    </row>
    <row r="861" spans="2:5" x14ac:dyDescent="0.25">
      <c r="B861">
        <v>200</v>
      </c>
      <c r="C861" s="393" t="str">
        <f>IF('0_Datos generales organización'!H252="","",'0_Datos generales organización'!H252)</f>
        <v/>
      </c>
      <c r="D861" s="393" t="str">
        <f>IF(C861="","",IF('0_Datos generales organización'!J252="no","",Dades!C861))</f>
        <v/>
      </c>
      <c r="E861" s="393" t="str">
        <f>IFERROR(INDEX($D$662:$D$911,MATCH(0,INDEX(COUNTIF($E$661:E860,$D$662:$D$911),),)),"")</f>
        <v/>
      </c>
    </row>
    <row r="862" spans="2:5" x14ac:dyDescent="0.25">
      <c r="B862">
        <v>201</v>
      </c>
      <c r="C862" s="393" t="str">
        <f>IF('0_Datos generales organización'!H253="","",'0_Datos generales organización'!H253)</f>
        <v/>
      </c>
      <c r="D862" s="393" t="str">
        <f>IF(C862="","",IF('0_Datos generales organización'!J253="no","",Dades!C862))</f>
        <v/>
      </c>
      <c r="E862" s="393" t="str">
        <f>IFERROR(INDEX($D$662:$D$911,MATCH(0,INDEX(COUNTIF($E$661:E861,$D$662:$D$911),),)),"")</f>
        <v/>
      </c>
    </row>
    <row r="863" spans="2:5" x14ac:dyDescent="0.25">
      <c r="B863">
        <v>202</v>
      </c>
      <c r="C863" s="393" t="str">
        <f>IF('0_Datos generales organización'!H254="","",'0_Datos generales organización'!H254)</f>
        <v/>
      </c>
      <c r="D863" s="393" t="str">
        <f>IF(C863="","",IF('0_Datos generales organización'!J254="no","",Dades!C863))</f>
        <v/>
      </c>
      <c r="E863" s="393" t="str">
        <f>IFERROR(INDEX($D$662:$D$911,MATCH(0,INDEX(COUNTIF($E$661:E862,$D$662:$D$911),),)),"")</f>
        <v/>
      </c>
    </row>
    <row r="864" spans="2:5" x14ac:dyDescent="0.25">
      <c r="B864">
        <v>203</v>
      </c>
      <c r="C864" s="393" t="str">
        <f>IF('0_Datos generales organización'!H255="","",'0_Datos generales organización'!H255)</f>
        <v/>
      </c>
      <c r="D864" s="393" t="str">
        <f>IF(C864="","",IF('0_Datos generales organización'!J255="no","",Dades!C864))</f>
        <v/>
      </c>
      <c r="E864" s="393" t="str">
        <f>IFERROR(INDEX($D$662:$D$911,MATCH(0,INDEX(COUNTIF($E$661:E863,$D$662:$D$911),),)),"")</f>
        <v/>
      </c>
    </row>
    <row r="865" spans="2:5" x14ac:dyDescent="0.25">
      <c r="B865">
        <v>204</v>
      </c>
      <c r="C865" s="393" t="str">
        <f>IF('0_Datos generales organización'!H256="","",'0_Datos generales organización'!H256)</f>
        <v/>
      </c>
      <c r="D865" s="393" t="str">
        <f>IF(C865="","",IF('0_Datos generales organización'!J256="no","",Dades!C865))</f>
        <v/>
      </c>
      <c r="E865" s="393" t="str">
        <f>IFERROR(INDEX($D$662:$D$911,MATCH(0,INDEX(COUNTIF($E$661:E864,$D$662:$D$911),),)),"")</f>
        <v/>
      </c>
    </row>
    <row r="866" spans="2:5" x14ac:dyDescent="0.25">
      <c r="B866">
        <v>205</v>
      </c>
      <c r="C866" s="393" t="str">
        <f>IF('0_Datos generales organización'!H257="","",'0_Datos generales organización'!H257)</f>
        <v/>
      </c>
      <c r="D866" s="393" t="str">
        <f>IF(C866="","",IF('0_Datos generales organización'!J257="no","",Dades!C866))</f>
        <v/>
      </c>
      <c r="E866" s="393" t="str">
        <f>IFERROR(INDEX($D$662:$D$911,MATCH(0,INDEX(COUNTIF($E$661:E865,$D$662:$D$911),),)),"")</f>
        <v/>
      </c>
    </row>
    <row r="867" spans="2:5" x14ac:dyDescent="0.25">
      <c r="B867">
        <v>206</v>
      </c>
      <c r="C867" s="393" t="str">
        <f>IF('0_Datos generales organización'!H258="","",'0_Datos generales organización'!H258)</f>
        <v/>
      </c>
      <c r="D867" s="393" t="str">
        <f>IF(C867="","",IF('0_Datos generales organización'!J258="no","",Dades!C867))</f>
        <v/>
      </c>
      <c r="E867" s="393" t="str">
        <f>IFERROR(INDEX($D$662:$D$911,MATCH(0,INDEX(COUNTIF($E$661:E866,$D$662:$D$911),),)),"")</f>
        <v/>
      </c>
    </row>
    <row r="868" spans="2:5" x14ac:dyDescent="0.25">
      <c r="B868">
        <v>207</v>
      </c>
      <c r="C868" s="393" t="str">
        <f>IF('0_Datos generales organización'!H259="","",'0_Datos generales organización'!H259)</f>
        <v/>
      </c>
      <c r="D868" s="393" t="str">
        <f>IF(C868="","",IF('0_Datos generales organización'!J259="no","",Dades!C868))</f>
        <v/>
      </c>
      <c r="E868" s="393" t="str">
        <f>IFERROR(INDEX($D$662:$D$911,MATCH(0,INDEX(COUNTIF($E$661:E867,$D$662:$D$911),),)),"")</f>
        <v/>
      </c>
    </row>
    <row r="869" spans="2:5" x14ac:dyDescent="0.25">
      <c r="B869">
        <v>208</v>
      </c>
      <c r="C869" s="393" t="str">
        <f>IF('0_Datos generales organización'!H260="","",'0_Datos generales organización'!H260)</f>
        <v/>
      </c>
      <c r="D869" s="393" t="str">
        <f>IF(C869="","",IF('0_Datos generales organización'!J260="no","",Dades!C869))</f>
        <v/>
      </c>
      <c r="E869" s="393" t="str">
        <f>IFERROR(INDEX($D$662:$D$911,MATCH(0,INDEX(COUNTIF($E$661:E868,$D$662:$D$911),),)),"")</f>
        <v/>
      </c>
    </row>
    <row r="870" spans="2:5" x14ac:dyDescent="0.25">
      <c r="B870">
        <v>209</v>
      </c>
      <c r="C870" s="393" t="str">
        <f>IF('0_Datos generales organización'!H261="","",'0_Datos generales organización'!H261)</f>
        <v/>
      </c>
      <c r="D870" s="393" t="str">
        <f>IF(C870="","",IF('0_Datos generales organización'!J261="no","",Dades!C870))</f>
        <v/>
      </c>
      <c r="E870" s="393" t="str">
        <f>IFERROR(INDEX($D$662:$D$911,MATCH(0,INDEX(COUNTIF($E$661:E869,$D$662:$D$911),),)),"")</f>
        <v/>
      </c>
    </row>
    <row r="871" spans="2:5" x14ac:dyDescent="0.25">
      <c r="B871">
        <v>210</v>
      </c>
      <c r="C871" s="393" t="str">
        <f>IF('0_Datos generales organización'!H262="","",'0_Datos generales organización'!H262)</f>
        <v/>
      </c>
      <c r="D871" s="393" t="str">
        <f>IF(C871="","",IF('0_Datos generales organización'!J262="no","",Dades!C871))</f>
        <v/>
      </c>
      <c r="E871" s="393" t="str">
        <f>IFERROR(INDEX($D$662:$D$911,MATCH(0,INDEX(COUNTIF($E$661:E870,$D$662:$D$911),),)),"")</f>
        <v/>
      </c>
    </row>
    <row r="872" spans="2:5" x14ac:dyDescent="0.25">
      <c r="B872">
        <v>211</v>
      </c>
      <c r="C872" s="393" t="str">
        <f>IF('0_Datos generales organización'!H263="","",'0_Datos generales organización'!H263)</f>
        <v/>
      </c>
      <c r="D872" s="393" t="str">
        <f>IF(C872="","",IF('0_Datos generales organización'!J263="no","",Dades!C872))</f>
        <v/>
      </c>
      <c r="E872" s="393" t="str">
        <f>IFERROR(INDEX($D$662:$D$911,MATCH(0,INDEX(COUNTIF($E$661:E871,$D$662:$D$911),),)),"")</f>
        <v/>
      </c>
    </row>
    <row r="873" spans="2:5" x14ac:dyDescent="0.25">
      <c r="B873">
        <v>212</v>
      </c>
      <c r="C873" s="393" t="str">
        <f>IF('0_Datos generales organización'!H264="","",'0_Datos generales organización'!H264)</f>
        <v/>
      </c>
      <c r="D873" s="393" t="str">
        <f>IF(C873="","",IF('0_Datos generales organización'!J264="no","",Dades!C873))</f>
        <v/>
      </c>
      <c r="E873" s="393" t="str">
        <f>IFERROR(INDEX($D$662:$D$911,MATCH(0,INDEX(COUNTIF($E$661:E872,$D$662:$D$911),),)),"")</f>
        <v/>
      </c>
    </row>
    <row r="874" spans="2:5" x14ac:dyDescent="0.25">
      <c r="B874">
        <v>213</v>
      </c>
      <c r="C874" s="393" t="str">
        <f>IF('0_Datos generales organización'!H265="","",'0_Datos generales organización'!H265)</f>
        <v/>
      </c>
      <c r="D874" s="393" t="str">
        <f>IF(C874="","",IF('0_Datos generales organización'!J265="no","",Dades!C874))</f>
        <v/>
      </c>
      <c r="E874" s="393" t="str">
        <f>IFERROR(INDEX($D$662:$D$911,MATCH(0,INDEX(COUNTIF($E$661:E873,$D$662:$D$911),),)),"")</f>
        <v/>
      </c>
    </row>
    <row r="875" spans="2:5" x14ac:dyDescent="0.25">
      <c r="B875">
        <v>214</v>
      </c>
      <c r="C875" s="393" t="str">
        <f>IF('0_Datos generales organización'!H266="","",'0_Datos generales organización'!H266)</f>
        <v/>
      </c>
      <c r="D875" s="393" t="str">
        <f>IF(C875="","",IF('0_Datos generales organización'!J266="no","",Dades!C875))</f>
        <v/>
      </c>
      <c r="E875" s="393" t="str">
        <f>IFERROR(INDEX($D$662:$D$911,MATCH(0,INDEX(COUNTIF($E$661:E874,$D$662:$D$911),),)),"")</f>
        <v/>
      </c>
    </row>
    <row r="876" spans="2:5" x14ac:dyDescent="0.25">
      <c r="B876">
        <v>215</v>
      </c>
      <c r="C876" s="393" t="str">
        <f>IF('0_Datos generales organización'!H267="","",'0_Datos generales organización'!H267)</f>
        <v/>
      </c>
      <c r="D876" s="393" t="str">
        <f>IF(C876="","",IF('0_Datos generales organización'!J267="no","",Dades!C876))</f>
        <v/>
      </c>
      <c r="E876" s="393" t="str">
        <f>IFERROR(INDEX($D$662:$D$911,MATCH(0,INDEX(COUNTIF($E$661:E875,$D$662:$D$911),),)),"")</f>
        <v/>
      </c>
    </row>
    <row r="877" spans="2:5" x14ac:dyDescent="0.25">
      <c r="B877">
        <v>216</v>
      </c>
      <c r="C877" s="393" t="str">
        <f>IF('0_Datos generales organización'!H268="","",'0_Datos generales organización'!H268)</f>
        <v/>
      </c>
      <c r="D877" s="393" t="str">
        <f>IF(C877="","",IF('0_Datos generales organización'!J268="no","",Dades!C877))</f>
        <v/>
      </c>
      <c r="E877" s="393" t="str">
        <f>IFERROR(INDEX($D$662:$D$911,MATCH(0,INDEX(COUNTIF($E$661:E876,$D$662:$D$911),),)),"")</f>
        <v/>
      </c>
    </row>
    <row r="878" spans="2:5" x14ac:dyDescent="0.25">
      <c r="B878">
        <v>217</v>
      </c>
      <c r="C878" s="393" t="str">
        <f>IF('0_Datos generales organización'!H269="","",'0_Datos generales organización'!H269)</f>
        <v/>
      </c>
      <c r="D878" s="393" t="str">
        <f>IF(C878="","",IF('0_Datos generales organización'!J269="no","",Dades!C878))</f>
        <v/>
      </c>
      <c r="E878" s="393" t="str">
        <f>IFERROR(INDEX($D$662:$D$911,MATCH(0,INDEX(COUNTIF($E$661:E877,$D$662:$D$911),),)),"")</f>
        <v/>
      </c>
    </row>
    <row r="879" spans="2:5" x14ac:dyDescent="0.25">
      <c r="B879">
        <v>218</v>
      </c>
      <c r="C879" s="393" t="str">
        <f>IF('0_Datos generales organización'!H270="","",'0_Datos generales organización'!H270)</f>
        <v/>
      </c>
      <c r="D879" s="393" t="str">
        <f>IF(C879="","",IF('0_Datos generales organización'!J270="no","",Dades!C879))</f>
        <v/>
      </c>
      <c r="E879" s="393" t="str">
        <f>IFERROR(INDEX($D$662:$D$911,MATCH(0,INDEX(COUNTIF($E$661:E878,$D$662:$D$911),),)),"")</f>
        <v/>
      </c>
    </row>
    <row r="880" spans="2:5" x14ac:dyDescent="0.25">
      <c r="B880">
        <v>219</v>
      </c>
      <c r="C880" s="393" t="str">
        <f>IF('0_Datos generales organización'!H271="","",'0_Datos generales organización'!H271)</f>
        <v/>
      </c>
      <c r="D880" s="393" t="str">
        <f>IF(C880="","",IF('0_Datos generales organización'!J271="no","",Dades!C880))</f>
        <v/>
      </c>
      <c r="E880" s="393" t="str">
        <f>IFERROR(INDEX($D$662:$D$911,MATCH(0,INDEX(COUNTIF($E$661:E879,$D$662:$D$911),),)),"")</f>
        <v/>
      </c>
    </row>
    <row r="881" spans="2:5" x14ac:dyDescent="0.25">
      <c r="B881">
        <v>220</v>
      </c>
      <c r="C881" s="393" t="str">
        <f>IF('0_Datos generales organización'!H272="","",'0_Datos generales organización'!H272)</f>
        <v/>
      </c>
      <c r="D881" s="393" t="str">
        <f>IF(C881="","",IF('0_Datos generales organización'!J272="no","",Dades!C881))</f>
        <v/>
      </c>
      <c r="E881" s="393" t="str">
        <f>IFERROR(INDEX($D$662:$D$911,MATCH(0,INDEX(COUNTIF($E$661:E880,$D$662:$D$911),),)),"")</f>
        <v/>
      </c>
    </row>
    <row r="882" spans="2:5" x14ac:dyDescent="0.25">
      <c r="B882">
        <v>221</v>
      </c>
      <c r="C882" s="393" t="str">
        <f>IF('0_Datos generales organización'!H273="","",'0_Datos generales organización'!H273)</f>
        <v/>
      </c>
      <c r="D882" s="393" t="str">
        <f>IF(C882="","",IF('0_Datos generales organización'!J273="no","",Dades!C882))</f>
        <v/>
      </c>
      <c r="E882" s="393" t="str">
        <f>IFERROR(INDEX($D$662:$D$911,MATCH(0,INDEX(COUNTIF($E$661:E881,$D$662:$D$911),),)),"")</f>
        <v/>
      </c>
    </row>
    <row r="883" spans="2:5" x14ac:dyDescent="0.25">
      <c r="B883">
        <v>222</v>
      </c>
      <c r="C883" s="393" t="str">
        <f>IF('0_Datos generales organización'!H274="","",'0_Datos generales organización'!H274)</f>
        <v/>
      </c>
      <c r="D883" s="393" t="str">
        <f>IF(C883="","",IF('0_Datos generales organización'!J274="no","",Dades!C883))</f>
        <v/>
      </c>
      <c r="E883" s="393" t="str">
        <f>IFERROR(INDEX($D$662:$D$911,MATCH(0,INDEX(COUNTIF($E$661:E882,$D$662:$D$911),),)),"")</f>
        <v/>
      </c>
    </row>
    <row r="884" spans="2:5" x14ac:dyDescent="0.25">
      <c r="B884">
        <v>223</v>
      </c>
      <c r="C884" s="393" t="str">
        <f>IF('0_Datos generales organización'!H275="","",'0_Datos generales organización'!H275)</f>
        <v/>
      </c>
      <c r="D884" s="393" t="str">
        <f>IF(C884="","",IF('0_Datos generales organización'!J275="no","",Dades!C884))</f>
        <v/>
      </c>
      <c r="E884" s="393" t="str">
        <f>IFERROR(INDEX($D$662:$D$911,MATCH(0,INDEX(COUNTIF($E$661:E883,$D$662:$D$911),),)),"")</f>
        <v/>
      </c>
    </row>
    <row r="885" spans="2:5" x14ac:dyDescent="0.25">
      <c r="B885">
        <v>224</v>
      </c>
      <c r="C885" s="393" t="str">
        <f>IF('0_Datos generales organización'!H276="","",'0_Datos generales organización'!H276)</f>
        <v/>
      </c>
      <c r="D885" s="393" t="str">
        <f>IF(C885="","",IF('0_Datos generales organización'!J276="no","",Dades!C885))</f>
        <v/>
      </c>
      <c r="E885" s="393" t="str">
        <f>IFERROR(INDEX($D$662:$D$911,MATCH(0,INDEX(COUNTIF($E$661:E884,$D$662:$D$911),),)),"")</f>
        <v/>
      </c>
    </row>
    <row r="886" spans="2:5" x14ac:dyDescent="0.25">
      <c r="B886">
        <v>225</v>
      </c>
      <c r="C886" s="393" t="str">
        <f>IF('0_Datos generales organización'!H277="","",'0_Datos generales organización'!H277)</f>
        <v/>
      </c>
      <c r="D886" s="393" t="str">
        <f>IF(C886="","",IF('0_Datos generales organización'!J277="no","",Dades!C886))</f>
        <v/>
      </c>
      <c r="E886" s="393" t="str">
        <f>IFERROR(INDEX($D$662:$D$911,MATCH(0,INDEX(COUNTIF($E$661:E885,$D$662:$D$911),),)),"")</f>
        <v/>
      </c>
    </row>
    <row r="887" spans="2:5" x14ac:dyDescent="0.25">
      <c r="B887">
        <v>226</v>
      </c>
      <c r="C887" s="393" t="str">
        <f>IF('0_Datos generales organización'!H278="","",'0_Datos generales organización'!H278)</f>
        <v/>
      </c>
      <c r="D887" s="393" t="str">
        <f>IF(C887="","",IF('0_Datos generales organización'!J278="no","",Dades!C887))</f>
        <v/>
      </c>
      <c r="E887" s="393" t="str">
        <f>IFERROR(INDEX($D$662:$D$911,MATCH(0,INDEX(COUNTIF($E$661:E886,$D$662:$D$911),),)),"")</f>
        <v/>
      </c>
    </row>
    <row r="888" spans="2:5" x14ac:dyDescent="0.25">
      <c r="B888">
        <v>227</v>
      </c>
      <c r="C888" s="393" t="str">
        <f>IF('0_Datos generales organización'!H279="","",'0_Datos generales organización'!H279)</f>
        <v/>
      </c>
      <c r="D888" s="393" t="str">
        <f>IF(C888="","",IF('0_Datos generales organización'!J279="no","",Dades!C888))</f>
        <v/>
      </c>
      <c r="E888" s="393" t="str">
        <f>IFERROR(INDEX($D$662:$D$911,MATCH(0,INDEX(COUNTIF($E$661:E887,$D$662:$D$911),),)),"")</f>
        <v/>
      </c>
    </row>
    <row r="889" spans="2:5" x14ac:dyDescent="0.25">
      <c r="B889">
        <v>228</v>
      </c>
      <c r="C889" s="393" t="str">
        <f>IF('0_Datos generales organización'!H280="","",'0_Datos generales organización'!H280)</f>
        <v/>
      </c>
      <c r="D889" s="393" t="str">
        <f>IF(C889="","",IF('0_Datos generales organización'!J280="no","",Dades!C889))</f>
        <v/>
      </c>
      <c r="E889" s="393" t="str">
        <f>IFERROR(INDEX($D$662:$D$911,MATCH(0,INDEX(COUNTIF($E$661:E888,$D$662:$D$911),),)),"")</f>
        <v/>
      </c>
    </row>
    <row r="890" spans="2:5" x14ac:dyDescent="0.25">
      <c r="B890">
        <v>229</v>
      </c>
      <c r="C890" s="393" t="str">
        <f>IF('0_Datos generales organización'!H281="","",'0_Datos generales organización'!H281)</f>
        <v/>
      </c>
      <c r="D890" s="393" t="str">
        <f>IF(C890="","",IF('0_Datos generales organización'!J281="no","",Dades!C890))</f>
        <v/>
      </c>
      <c r="E890" s="393" t="str">
        <f>IFERROR(INDEX($D$662:$D$911,MATCH(0,INDEX(COUNTIF($E$661:E889,$D$662:$D$911),),)),"")</f>
        <v/>
      </c>
    </row>
    <row r="891" spans="2:5" x14ac:dyDescent="0.25">
      <c r="B891">
        <v>230</v>
      </c>
      <c r="C891" s="393" t="str">
        <f>IF('0_Datos generales organización'!H282="","",'0_Datos generales organización'!H282)</f>
        <v/>
      </c>
      <c r="D891" s="393" t="str">
        <f>IF(C891="","",IF('0_Datos generales organización'!J282="no","",Dades!C891))</f>
        <v/>
      </c>
      <c r="E891" s="393" t="str">
        <f>IFERROR(INDEX($D$662:$D$911,MATCH(0,INDEX(COUNTIF($E$661:E890,$D$662:$D$911),),)),"")</f>
        <v/>
      </c>
    </row>
    <row r="892" spans="2:5" x14ac:dyDescent="0.25">
      <c r="B892">
        <v>231</v>
      </c>
      <c r="C892" s="393" t="str">
        <f>IF('0_Datos generales organización'!H283="","",'0_Datos generales organización'!H283)</f>
        <v/>
      </c>
      <c r="D892" s="393" t="str">
        <f>IF(C892="","",IF('0_Datos generales organización'!J283="no","",Dades!C892))</f>
        <v/>
      </c>
      <c r="E892" s="393" t="str">
        <f>IFERROR(INDEX($D$662:$D$911,MATCH(0,INDEX(COUNTIF($E$661:E891,$D$662:$D$911),),)),"")</f>
        <v/>
      </c>
    </row>
    <row r="893" spans="2:5" x14ac:dyDescent="0.25">
      <c r="B893">
        <v>232</v>
      </c>
      <c r="C893" s="393" t="str">
        <f>IF('0_Datos generales organización'!H284="","",'0_Datos generales organización'!H284)</f>
        <v/>
      </c>
      <c r="D893" s="393" t="str">
        <f>IF(C893="","",IF('0_Datos generales organización'!J284="no","",Dades!C893))</f>
        <v/>
      </c>
      <c r="E893" s="393" t="str">
        <f>IFERROR(INDEX($D$662:$D$911,MATCH(0,INDEX(COUNTIF($E$661:E892,$D$662:$D$911),),)),"")</f>
        <v/>
      </c>
    </row>
    <row r="894" spans="2:5" x14ac:dyDescent="0.25">
      <c r="B894">
        <v>233</v>
      </c>
      <c r="C894" s="393" t="str">
        <f>IF('0_Datos generales organización'!H285="","",'0_Datos generales organización'!H285)</f>
        <v/>
      </c>
      <c r="D894" s="393" t="str">
        <f>IF(C894="","",IF('0_Datos generales organización'!J285="no","",Dades!C894))</f>
        <v/>
      </c>
      <c r="E894" s="393" t="str">
        <f>IFERROR(INDEX($D$662:$D$911,MATCH(0,INDEX(COUNTIF($E$661:E893,$D$662:$D$911),),)),"")</f>
        <v/>
      </c>
    </row>
    <row r="895" spans="2:5" x14ac:dyDescent="0.25">
      <c r="B895">
        <v>234</v>
      </c>
      <c r="C895" s="393" t="str">
        <f>IF('0_Datos generales organización'!H286="","",'0_Datos generales organización'!H286)</f>
        <v/>
      </c>
      <c r="D895" s="393" t="str">
        <f>IF(C895="","",IF('0_Datos generales organización'!J286="no","",Dades!C895))</f>
        <v/>
      </c>
      <c r="E895" s="393" t="str">
        <f>IFERROR(INDEX($D$662:$D$911,MATCH(0,INDEX(COUNTIF($E$661:E894,$D$662:$D$911),),)),"")</f>
        <v/>
      </c>
    </row>
    <row r="896" spans="2:5" x14ac:dyDescent="0.25">
      <c r="B896">
        <v>235</v>
      </c>
      <c r="C896" s="393" t="str">
        <f>IF('0_Datos generales organización'!H287="","",'0_Datos generales organización'!H287)</f>
        <v/>
      </c>
      <c r="D896" s="393" t="str">
        <f>IF(C896="","",IF('0_Datos generales organización'!J287="no","",Dades!C896))</f>
        <v/>
      </c>
      <c r="E896" s="393" t="str">
        <f>IFERROR(INDEX($D$662:$D$911,MATCH(0,INDEX(COUNTIF($E$661:E895,$D$662:$D$911),),)),"")</f>
        <v/>
      </c>
    </row>
    <row r="897" spans="2:5" x14ac:dyDescent="0.25">
      <c r="B897">
        <v>236</v>
      </c>
      <c r="C897" s="393" t="str">
        <f>IF('0_Datos generales organización'!H288="","",'0_Datos generales organización'!H288)</f>
        <v/>
      </c>
      <c r="D897" s="393" t="str">
        <f>IF(C897="","",IF('0_Datos generales organización'!J288="no","",Dades!C897))</f>
        <v/>
      </c>
      <c r="E897" s="393" t="str">
        <f>IFERROR(INDEX($D$662:$D$911,MATCH(0,INDEX(COUNTIF($E$661:E896,$D$662:$D$911),),)),"")</f>
        <v/>
      </c>
    </row>
    <row r="898" spans="2:5" x14ac:dyDescent="0.25">
      <c r="B898">
        <v>237</v>
      </c>
      <c r="C898" s="393" t="str">
        <f>IF('0_Datos generales organización'!H289="","",'0_Datos generales organización'!H289)</f>
        <v/>
      </c>
      <c r="D898" s="393" t="str">
        <f>IF(C898="","",IF('0_Datos generales organización'!J289="no","",Dades!C898))</f>
        <v/>
      </c>
      <c r="E898" s="393" t="str">
        <f>IFERROR(INDEX($D$662:$D$911,MATCH(0,INDEX(COUNTIF($E$661:E897,$D$662:$D$911),),)),"")</f>
        <v/>
      </c>
    </row>
    <row r="899" spans="2:5" x14ac:dyDescent="0.25">
      <c r="B899">
        <v>238</v>
      </c>
      <c r="C899" s="393" t="str">
        <f>IF('0_Datos generales organización'!H290="","",'0_Datos generales organización'!H290)</f>
        <v/>
      </c>
      <c r="D899" s="393" t="str">
        <f>IF(C899="","",IF('0_Datos generales organización'!J290="no","",Dades!C899))</f>
        <v/>
      </c>
      <c r="E899" s="393" t="str">
        <f>IFERROR(INDEX($D$662:$D$911,MATCH(0,INDEX(COUNTIF($E$661:E898,$D$662:$D$911),),)),"")</f>
        <v/>
      </c>
    </row>
    <row r="900" spans="2:5" x14ac:dyDescent="0.25">
      <c r="B900">
        <v>239</v>
      </c>
      <c r="C900" s="393" t="str">
        <f>IF('0_Datos generales organización'!H291="","",'0_Datos generales organización'!H291)</f>
        <v/>
      </c>
      <c r="D900" s="393" t="str">
        <f>IF(C900="","",IF('0_Datos generales organización'!J291="no","",Dades!C900))</f>
        <v/>
      </c>
      <c r="E900" s="393" t="str">
        <f>IFERROR(INDEX($D$662:$D$911,MATCH(0,INDEX(COUNTIF($E$661:E899,$D$662:$D$911),),)),"")</f>
        <v/>
      </c>
    </row>
    <row r="901" spans="2:5" x14ac:dyDescent="0.25">
      <c r="B901">
        <v>240</v>
      </c>
      <c r="C901" s="393" t="str">
        <f>IF('0_Datos generales organización'!H292="","",'0_Datos generales organización'!H292)</f>
        <v/>
      </c>
      <c r="D901" s="393" t="str">
        <f>IF(C901="","",IF('0_Datos generales organización'!J292="no","",Dades!C901))</f>
        <v/>
      </c>
      <c r="E901" s="393" t="str">
        <f>IFERROR(INDEX($D$662:$D$911,MATCH(0,INDEX(COUNTIF($E$661:E900,$D$662:$D$911),),)),"")</f>
        <v/>
      </c>
    </row>
    <row r="902" spans="2:5" x14ac:dyDescent="0.25">
      <c r="B902">
        <v>241</v>
      </c>
      <c r="C902" s="393" t="str">
        <f>IF('0_Datos generales organización'!H293="","",'0_Datos generales organización'!H293)</f>
        <v/>
      </c>
      <c r="D902" s="393" t="str">
        <f>IF(C902="","",IF('0_Datos generales organización'!J293="no","",Dades!C902))</f>
        <v/>
      </c>
      <c r="E902" s="393" t="str">
        <f>IFERROR(INDEX($D$662:$D$911,MATCH(0,INDEX(COUNTIF($E$661:E901,$D$662:$D$911),),)),"")</f>
        <v/>
      </c>
    </row>
    <row r="903" spans="2:5" x14ac:dyDescent="0.25">
      <c r="B903">
        <v>242</v>
      </c>
      <c r="C903" s="393" t="str">
        <f>IF('0_Datos generales organización'!H294="","",'0_Datos generales organización'!H294)</f>
        <v/>
      </c>
      <c r="D903" s="393" t="str">
        <f>IF(C903="","",IF('0_Datos generales organización'!J294="no","",Dades!C903))</f>
        <v/>
      </c>
      <c r="E903" s="393" t="str">
        <f>IFERROR(INDEX($D$662:$D$911,MATCH(0,INDEX(COUNTIF($E$661:E902,$D$662:$D$911),),)),"")</f>
        <v/>
      </c>
    </row>
    <row r="904" spans="2:5" x14ac:dyDescent="0.25">
      <c r="B904">
        <v>243</v>
      </c>
      <c r="C904" s="393" t="str">
        <f>IF('0_Datos generales organización'!H295="","",'0_Datos generales organización'!H295)</f>
        <v/>
      </c>
      <c r="D904" s="393" t="str">
        <f>IF(C904="","",IF('0_Datos generales organización'!J295="no","",Dades!C904))</f>
        <v/>
      </c>
      <c r="E904" s="393" t="str">
        <f>IFERROR(INDEX($D$662:$D$911,MATCH(0,INDEX(COUNTIF($E$661:E903,$D$662:$D$911),),)),"")</f>
        <v/>
      </c>
    </row>
    <row r="905" spans="2:5" x14ac:dyDescent="0.25">
      <c r="B905">
        <v>244</v>
      </c>
      <c r="C905" s="393" t="str">
        <f>IF('0_Datos generales organización'!H296="","",'0_Datos generales organización'!H296)</f>
        <v/>
      </c>
      <c r="D905" s="393" t="str">
        <f>IF(C905="","",IF('0_Datos generales organización'!J296="no","",Dades!C905))</f>
        <v/>
      </c>
      <c r="E905" s="393" t="str">
        <f>IFERROR(INDEX($D$662:$D$911,MATCH(0,INDEX(COUNTIF($E$661:E904,$D$662:$D$911),),)),"")</f>
        <v/>
      </c>
    </row>
    <row r="906" spans="2:5" x14ac:dyDescent="0.25">
      <c r="B906">
        <v>245</v>
      </c>
      <c r="C906" s="393" t="str">
        <f>IF('0_Datos generales organización'!H297="","",'0_Datos generales organización'!H297)</f>
        <v/>
      </c>
      <c r="D906" s="393" t="str">
        <f>IF(C906="","",IF('0_Datos generales organización'!J297="no","",Dades!C906))</f>
        <v/>
      </c>
      <c r="E906" s="393" t="str">
        <f>IFERROR(INDEX($D$662:$D$911,MATCH(0,INDEX(COUNTIF($E$661:E905,$D$662:$D$911),),)),"")</f>
        <v/>
      </c>
    </row>
    <row r="907" spans="2:5" x14ac:dyDescent="0.25">
      <c r="B907">
        <v>246</v>
      </c>
      <c r="C907" s="393" t="str">
        <f>IF('0_Datos generales organización'!H298="","",'0_Datos generales organización'!H298)</f>
        <v/>
      </c>
      <c r="D907" s="393" t="str">
        <f>IF(C907="","",IF('0_Datos generales organización'!J298="no","",Dades!C907))</f>
        <v/>
      </c>
      <c r="E907" s="393" t="str">
        <f>IFERROR(INDEX($D$662:$D$911,MATCH(0,INDEX(COUNTIF($E$661:E906,$D$662:$D$911),),)),"")</f>
        <v/>
      </c>
    </row>
    <row r="908" spans="2:5" x14ac:dyDescent="0.25">
      <c r="B908">
        <v>247</v>
      </c>
      <c r="C908" s="393" t="str">
        <f>IF('0_Datos generales organización'!H299="","",'0_Datos generales organización'!H299)</f>
        <v/>
      </c>
      <c r="D908" s="393" t="str">
        <f>IF(C908="","",IF('0_Datos generales organización'!J299="no","",Dades!C908))</f>
        <v/>
      </c>
      <c r="E908" s="393" t="str">
        <f>IFERROR(INDEX($D$662:$D$911,MATCH(0,INDEX(COUNTIF($E$661:E907,$D$662:$D$911),),)),"")</f>
        <v/>
      </c>
    </row>
    <row r="909" spans="2:5" x14ac:dyDescent="0.25">
      <c r="B909">
        <v>248</v>
      </c>
      <c r="C909" s="393" t="str">
        <f>IF('0_Datos generales organización'!H300="","",'0_Datos generales organización'!H300)</f>
        <v/>
      </c>
      <c r="D909" s="393" t="str">
        <f>IF(C909="","",IF('0_Datos generales organización'!J300="no","",Dades!C909))</f>
        <v/>
      </c>
      <c r="E909" s="393" t="str">
        <f>IFERROR(INDEX($D$662:$D$911,MATCH(0,INDEX(COUNTIF($E$661:E908,$D$662:$D$911),),)),"")</f>
        <v/>
      </c>
    </row>
    <row r="910" spans="2:5" x14ac:dyDescent="0.25">
      <c r="B910">
        <v>249</v>
      </c>
      <c r="C910" s="393" t="str">
        <f>IF('0_Datos generales organización'!H301="","",'0_Datos generales organización'!H301)</f>
        <v/>
      </c>
      <c r="D910" s="393" t="str">
        <f>IF(C910="","",IF('0_Datos generales organización'!J301="no","",Dades!C910))</f>
        <v/>
      </c>
      <c r="E910" s="393" t="str">
        <f>IFERROR(INDEX($D$662:$D$911,MATCH(0,INDEX(COUNTIF($E$661:E909,$D$662:$D$911),),)),"")</f>
        <v/>
      </c>
    </row>
    <row r="911" spans="2:5" x14ac:dyDescent="0.25">
      <c r="B911">
        <v>250</v>
      </c>
      <c r="C911" s="393" t="str">
        <f>IF('0_Datos generales organización'!H302="","",'0_Datos generales organización'!H302)</f>
        <v/>
      </c>
      <c r="D911" s="393" t="str">
        <f>IF(C911="","",IF('0_Datos generales organización'!J302="no","",Dades!C911))</f>
        <v/>
      </c>
      <c r="E911" s="393" t="str">
        <f>IFERROR(INDEX($D$662:$D$911,MATCH(0,INDEX(COUNTIF($E$661:E910,$D$662:$D$911),),)),"")</f>
        <v/>
      </c>
    </row>
  </sheetData>
  <sheetProtection sheet="1" objects="1" scenarios="1"/>
  <mergeCells count="29">
    <mergeCell ref="AP144:AP145"/>
    <mergeCell ref="C82:C83"/>
    <mergeCell ref="D82:M82"/>
    <mergeCell ref="C634:C636"/>
    <mergeCell ref="D634:E634"/>
    <mergeCell ref="F634:G634"/>
    <mergeCell ref="H634:I634"/>
    <mergeCell ref="J634:K634"/>
    <mergeCell ref="P634:S634"/>
    <mergeCell ref="U634:AA634"/>
    <mergeCell ref="D635:D636"/>
    <mergeCell ref="E635:E636"/>
    <mergeCell ref="F635:F636"/>
    <mergeCell ref="G635:G636"/>
    <mergeCell ref="H635:H636"/>
    <mergeCell ref="I635:I636"/>
    <mergeCell ref="J635:J636"/>
    <mergeCell ref="K635:K636"/>
    <mergeCell ref="L635:L636"/>
    <mergeCell ref="M635:M636"/>
    <mergeCell ref="N635:N636"/>
    <mergeCell ref="Y635:Y636"/>
    <mergeCell ref="Z635:Z636"/>
    <mergeCell ref="AA635:AA636"/>
    <mergeCell ref="O635:O636"/>
    <mergeCell ref="P635:P636"/>
    <mergeCell ref="Q635:Q636"/>
    <mergeCell ref="R635:R636"/>
    <mergeCell ref="S635:S636"/>
  </mergeCells>
  <conditionalFormatting sqref="E550">
    <cfRule type="iconSet" priority="3">
      <iconSet iconSet="3Arrows">
        <cfvo type="percent" val="0"/>
        <cfvo type="percent" val="33"/>
        <cfvo type="percent" val="67"/>
      </iconSet>
    </cfRule>
  </conditionalFormatting>
  <conditionalFormatting sqref="C557">
    <cfRule type="iconSet" priority="4">
      <iconSet iconSet="3Arrows">
        <cfvo type="percent" val="0"/>
        <cfvo type="percent" val="33"/>
        <cfvo type="percent" val="67"/>
      </iconSet>
    </cfRule>
  </conditionalFormatting>
  <conditionalFormatting sqref="AN667">
    <cfRule type="iconSet" priority="1">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AMK302"/>
  <sheetViews>
    <sheetView showRowColHeaders="0" zoomScaleNormal="100" workbookViewId="0">
      <pane xSplit="1" topLeftCell="B1" activePane="topRight" state="frozen"/>
      <selection pane="topRight" activeCell="C1" sqref="C1:P1"/>
    </sheetView>
  </sheetViews>
  <sheetFormatPr baseColWidth="10" defaultColWidth="9.140625" defaultRowHeight="15" x14ac:dyDescent="0.25"/>
  <cols>
    <col min="1" max="1" width="32.28515625" style="13" customWidth="1"/>
    <col min="2" max="2" width="2.140625" style="13" customWidth="1"/>
    <col min="3" max="3" width="1.7109375" style="13" customWidth="1"/>
    <col min="4" max="5" width="8.7109375" style="13" customWidth="1"/>
    <col min="6" max="6" width="9.5703125" style="13" customWidth="1"/>
    <col min="7" max="7" width="13.28515625" style="13" customWidth="1"/>
    <col min="8" max="8" width="14.140625" style="13" customWidth="1"/>
    <col min="9" max="9" width="15.5703125" style="13" customWidth="1"/>
    <col min="10" max="10" width="17.42578125" style="13" customWidth="1"/>
    <col min="11" max="11" width="16.140625" style="13" customWidth="1"/>
    <col min="12" max="12" width="15.42578125" style="13" customWidth="1"/>
    <col min="13" max="14" width="21.5703125" style="13" customWidth="1"/>
    <col min="15" max="15" width="18.140625" style="13" customWidth="1"/>
    <col min="16" max="16" width="3.42578125" style="13" customWidth="1"/>
    <col min="17" max="1025" width="11.42578125" style="13"/>
  </cols>
  <sheetData>
    <row r="1" spans="1:25" ht="40.700000000000003" customHeight="1" x14ac:dyDescent="0.25">
      <c r="B1" s="14"/>
      <c r="C1" s="438" t="s">
        <v>16</v>
      </c>
      <c r="D1" s="439"/>
      <c r="E1" s="439"/>
      <c r="F1" s="439"/>
      <c r="G1" s="439"/>
      <c r="H1" s="439"/>
      <c r="I1" s="439"/>
      <c r="J1" s="439"/>
      <c r="K1" s="439"/>
      <c r="L1" s="439"/>
      <c r="M1" s="439"/>
      <c r="N1" s="439"/>
      <c r="O1" s="439"/>
      <c r="P1" s="439"/>
    </row>
    <row r="2" spans="1:25" ht="40.700000000000003" customHeight="1" x14ac:dyDescent="0.3">
      <c r="B2" s="14"/>
      <c r="H2" s="2"/>
      <c r="I2" s="2"/>
      <c r="J2" s="2"/>
      <c r="K2" s="2"/>
      <c r="L2" s="2"/>
      <c r="M2" s="2"/>
      <c r="N2" s="2"/>
    </row>
    <row r="3" spans="1:25" ht="16.5" customHeight="1" x14ac:dyDescent="0.3">
      <c r="A3" s="15" t="s">
        <v>17</v>
      </c>
      <c r="B3" s="16"/>
      <c r="D3" s="446" t="s">
        <v>18</v>
      </c>
      <c r="E3" s="446"/>
      <c r="F3" s="446"/>
      <c r="G3" s="409">
        <v>2020</v>
      </c>
      <c r="H3" s="2"/>
      <c r="M3" s="2"/>
      <c r="N3" s="2"/>
    </row>
    <row r="4" spans="1:25" ht="16.5" x14ac:dyDescent="0.3">
      <c r="A4" s="17" t="s">
        <v>19</v>
      </c>
      <c r="B4" s="16"/>
      <c r="H4" s="2"/>
      <c r="I4" s="2"/>
      <c r="M4" s="2"/>
      <c r="N4" s="2"/>
    </row>
    <row r="5" spans="1:25" ht="18.75" customHeight="1" x14ac:dyDescent="0.25">
      <c r="A5" s="18" t="s">
        <v>20</v>
      </c>
      <c r="B5" s="16"/>
      <c r="D5" s="447" t="s">
        <v>21</v>
      </c>
      <c r="E5" s="447"/>
      <c r="F5" s="447"/>
      <c r="G5" s="447"/>
      <c r="H5" s="447"/>
      <c r="I5" s="447"/>
      <c r="J5" s="19" t="s">
        <v>22</v>
      </c>
      <c r="K5" s="448" t="s">
        <v>23</v>
      </c>
      <c r="L5" s="448"/>
      <c r="M5" s="448"/>
      <c r="Y5" s="20">
        <f>D6</f>
        <v>0</v>
      </c>
    </row>
    <row r="6" spans="1:25" ht="16.350000000000001" customHeight="1" x14ac:dyDescent="0.3">
      <c r="A6" s="18" t="s">
        <v>24</v>
      </c>
      <c r="B6" s="16"/>
      <c r="D6" s="449"/>
      <c r="E6" s="449"/>
      <c r="F6" s="449"/>
      <c r="G6" s="449"/>
      <c r="H6" s="449"/>
      <c r="I6" s="449"/>
      <c r="J6" s="408"/>
      <c r="K6" s="449"/>
      <c r="L6" s="449"/>
      <c r="M6" s="449"/>
      <c r="Y6" s="20">
        <f>D9</f>
        <v>0</v>
      </c>
    </row>
    <row r="7" spans="1:25" ht="16.350000000000001" customHeight="1" x14ac:dyDescent="0.3">
      <c r="A7" s="18" t="s">
        <v>26</v>
      </c>
      <c r="J7" s="2"/>
    </row>
    <row r="8" spans="1:25" ht="16.5" customHeight="1" x14ac:dyDescent="0.25">
      <c r="A8" s="18" t="s">
        <v>27</v>
      </c>
      <c r="D8" s="446" t="s">
        <v>28</v>
      </c>
      <c r="E8" s="446"/>
      <c r="F8" s="446"/>
      <c r="G8" s="446"/>
      <c r="H8" s="446"/>
      <c r="I8" s="446"/>
      <c r="J8" s="446"/>
      <c r="K8" s="446"/>
      <c r="L8" s="446"/>
      <c r="M8" s="446"/>
    </row>
    <row r="9" spans="1:25" ht="16.5" customHeight="1" x14ac:dyDescent="0.25">
      <c r="A9" s="17" t="s">
        <v>29</v>
      </c>
      <c r="D9" s="453"/>
      <c r="E9" s="453"/>
      <c r="F9" s="453"/>
      <c r="G9" s="453"/>
      <c r="H9" s="453"/>
      <c r="I9" s="453"/>
      <c r="J9" s="453"/>
      <c r="K9" s="453"/>
      <c r="L9" s="453"/>
      <c r="M9" s="453"/>
    </row>
    <row r="10" spans="1:25" ht="17.25" customHeight="1" x14ac:dyDescent="0.25">
      <c r="A10" s="18" t="s">
        <v>31</v>
      </c>
    </row>
    <row r="11" spans="1:25" ht="18.75" customHeight="1" x14ac:dyDescent="0.25">
      <c r="A11" s="18" t="s">
        <v>32</v>
      </c>
      <c r="D11" s="454" t="s">
        <v>33</v>
      </c>
      <c r="E11" s="454"/>
      <c r="F11" s="454"/>
      <c r="G11" s="454"/>
      <c r="H11" s="454"/>
      <c r="I11" s="454"/>
      <c r="J11" s="454"/>
      <c r="K11" s="454"/>
      <c r="L11" s="454"/>
      <c r="M11" s="454"/>
      <c r="N11" s="454"/>
    </row>
    <row r="12" spans="1:25" ht="15.6" customHeight="1" x14ac:dyDescent="0.25">
      <c r="A12" s="17"/>
      <c r="D12" s="454"/>
      <c r="E12" s="454"/>
      <c r="F12" s="454"/>
      <c r="G12" s="454"/>
      <c r="H12" s="454"/>
      <c r="I12" s="454"/>
      <c r="J12" s="454"/>
      <c r="K12" s="454"/>
      <c r="L12" s="454"/>
      <c r="M12" s="454"/>
      <c r="N12" s="454"/>
    </row>
    <row r="13" spans="1:25" ht="14.85" customHeight="1" x14ac:dyDescent="0.25">
      <c r="A13" s="17"/>
      <c r="D13" s="454"/>
      <c r="E13" s="454"/>
      <c r="F13" s="454"/>
      <c r="G13" s="454"/>
      <c r="H13" s="454"/>
      <c r="I13" s="454"/>
      <c r="J13" s="454"/>
      <c r="K13" s="454"/>
      <c r="L13" s="454"/>
      <c r="M13" s="454"/>
      <c r="N13" s="454"/>
    </row>
    <row r="14" spans="1:25" ht="14.85" customHeight="1" x14ac:dyDescent="0.25">
      <c r="A14" s="17"/>
      <c r="D14" s="21"/>
      <c r="E14" s="21"/>
      <c r="F14" s="21"/>
      <c r="G14" s="21"/>
      <c r="H14" s="21"/>
      <c r="I14" s="21"/>
      <c r="J14" s="21"/>
      <c r="K14" s="352" t="s">
        <v>943</v>
      </c>
      <c r="L14" s="355" t="s">
        <v>944</v>
      </c>
      <c r="M14" s="21"/>
      <c r="N14" s="21"/>
    </row>
    <row r="15" spans="1:25" ht="16.5" customHeight="1" x14ac:dyDescent="0.3">
      <c r="A15" s="22"/>
      <c r="G15" s="23" t="s">
        <v>34</v>
      </c>
      <c r="H15" s="406"/>
      <c r="I15" s="2"/>
      <c r="J15" s="23" t="s">
        <v>35</v>
      </c>
      <c r="K15" s="407"/>
      <c r="L15" s="407"/>
      <c r="M15" s="24" t="s">
        <v>36</v>
      </c>
    </row>
    <row r="16" spans="1:25" ht="5.25" customHeight="1" x14ac:dyDescent="0.3">
      <c r="A16" s="22"/>
      <c r="G16" s="37"/>
      <c r="H16" s="357"/>
      <c r="J16" s="37"/>
      <c r="K16" s="38"/>
      <c r="L16" s="38"/>
      <c r="M16" s="357"/>
    </row>
    <row r="17" spans="1:19" ht="16.5" customHeight="1" x14ac:dyDescent="0.3">
      <c r="A17" s="22"/>
      <c r="G17" s="23" t="s">
        <v>37</v>
      </c>
      <c r="H17" s="406"/>
      <c r="I17" s="2"/>
      <c r="J17" s="23" t="s">
        <v>38</v>
      </c>
      <c r="K17" s="407"/>
      <c r="L17" s="407"/>
      <c r="M17" s="24" t="s">
        <v>36</v>
      </c>
    </row>
    <row r="18" spans="1:19" ht="5.25" customHeight="1" x14ac:dyDescent="0.3">
      <c r="A18" s="22"/>
      <c r="F18" s="25"/>
      <c r="G18" s="37"/>
      <c r="H18" s="357"/>
      <c r="J18" s="37"/>
      <c r="K18" s="38"/>
      <c r="L18" s="38"/>
      <c r="M18" s="357"/>
    </row>
    <row r="19" spans="1:19" s="26" customFormat="1" ht="18" x14ac:dyDescent="0.3">
      <c r="A19" s="13"/>
      <c r="D19" s="13"/>
      <c r="E19" s="13"/>
      <c r="F19" s="13"/>
      <c r="G19" s="23" t="s">
        <v>39</v>
      </c>
      <c r="H19" s="406"/>
      <c r="I19" s="2"/>
      <c r="J19" s="23" t="s">
        <v>40</v>
      </c>
      <c r="K19" s="407"/>
      <c r="L19" s="407"/>
      <c r="M19" s="24" t="s">
        <v>36</v>
      </c>
      <c r="N19" s="13"/>
      <c r="O19" s="27"/>
      <c r="P19" s="27"/>
      <c r="Q19" s="27"/>
      <c r="R19" s="27"/>
      <c r="S19" s="27"/>
    </row>
    <row r="20" spans="1:19" ht="5.25" customHeight="1" x14ac:dyDescent="0.25">
      <c r="F20" s="28"/>
      <c r="G20" s="37"/>
      <c r="H20" s="357"/>
      <c r="J20" s="37"/>
      <c r="K20" s="38"/>
      <c r="L20" s="38"/>
      <c r="M20" s="357"/>
    </row>
    <row r="21" spans="1:19" s="26" customFormat="1" ht="31.5" customHeight="1" x14ac:dyDescent="0.3">
      <c r="D21" s="13"/>
      <c r="E21" s="13"/>
      <c r="F21" s="13"/>
      <c r="G21" s="29" t="s">
        <v>41</v>
      </c>
      <c r="H21" s="30">
        <f>IF(ISNUMBER(G3),G3,"")</f>
        <v>2020</v>
      </c>
      <c r="I21" s="2"/>
      <c r="J21" s="29" t="s">
        <v>42</v>
      </c>
      <c r="K21" s="31" t="str">
        <f>IF((Dades!AN636)&gt;0,Dades!AN636,"")</f>
        <v/>
      </c>
      <c r="L21" s="31" t="str">
        <f>IF((Dades!E522)&gt;0,Dades!E522,"")</f>
        <v/>
      </c>
      <c r="M21" s="32" t="s">
        <v>43</v>
      </c>
      <c r="N21" s="13"/>
      <c r="O21" s="27"/>
      <c r="P21" s="27"/>
      <c r="Q21" s="27"/>
      <c r="R21" s="27"/>
      <c r="S21" s="27"/>
    </row>
    <row r="22" spans="1:19" s="26" customFormat="1" ht="9" customHeight="1" x14ac:dyDescent="0.25">
      <c r="D22" s="13"/>
      <c r="E22" s="13"/>
      <c r="F22" s="13"/>
      <c r="G22" s="13"/>
      <c r="H22" s="33"/>
      <c r="I22" s="33"/>
      <c r="J22" s="13"/>
      <c r="K22" s="13"/>
      <c r="L22" s="33"/>
      <c r="M22" s="13"/>
      <c r="N22" s="13"/>
      <c r="O22" s="27"/>
      <c r="P22" s="27"/>
      <c r="Q22" s="27"/>
      <c r="R22" s="27"/>
      <c r="S22" s="27"/>
    </row>
    <row r="23" spans="1:19" s="26" customFormat="1" ht="27.75" customHeight="1" x14ac:dyDescent="0.2">
      <c r="D23" s="440" t="s">
        <v>44</v>
      </c>
      <c r="E23" s="440"/>
      <c r="F23" s="440"/>
      <c r="G23" s="440"/>
      <c r="H23" s="440"/>
      <c r="I23" s="440"/>
      <c r="J23" s="440"/>
      <c r="K23" s="440"/>
      <c r="L23" s="440"/>
      <c r="M23" s="440"/>
      <c r="N23" s="440"/>
      <c r="O23" s="27"/>
      <c r="P23" s="27"/>
      <c r="Q23" s="27"/>
      <c r="R23" s="27"/>
      <c r="S23" s="27"/>
    </row>
    <row r="24" spans="1:19" s="26" customFormat="1" ht="20.25" customHeight="1" x14ac:dyDescent="0.2">
      <c r="D24" s="440"/>
      <c r="E24" s="440"/>
      <c r="F24" s="440"/>
      <c r="G24" s="440"/>
      <c r="H24" s="440"/>
      <c r="I24" s="440"/>
      <c r="J24" s="440"/>
      <c r="K24" s="440"/>
      <c r="L24" s="440"/>
      <c r="M24" s="440"/>
      <c r="N24" s="440"/>
      <c r="O24" s="27"/>
      <c r="P24" s="27"/>
      <c r="Q24" s="27"/>
      <c r="R24" s="27"/>
      <c r="S24" s="27"/>
    </row>
    <row r="25" spans="1:19" ht="9" customHeight="1" x14ac:dyDescent="0.3">
      <c r="A25" s="22"/>
      <c r="D25" s="35"/>
      <c r="E25" s="35"/>
      <c r="F25" s="35"/>
      <c r="G25" s="35"/>
      <c r="H25" s="35"/>
      <c r="I25" s="35"/>
      <c r="J25" s="35"/>
      <c r="K25" s="35"/>
      <c r="L25" s="35"/>
      <c r="M25" s="35"/>
      <c r="N25" s="35"/>
    </row>
    <row r="26" spans="1:19" s="26" customFormat="1" ht="16.5" customHeight="1" x14ac:dyDescent="0.25">
      <c r="D26" s="35"/>
      <c r="G26" s="35"/>
      <c r="H26" s="451" t="s">
        <v>45</v>
      </c>
      <c r="I26" s="441" t="s">
        <v>46</v>
      </c>
      <c r="J26" s="450"/>
      <c r="K26" s="450"/>
      <c r="L26" s="442"/>
      <c r="N26" s="36"/>
      <c r="O26" s="27"/>
      <c r="P26" s="27"/>
      <c r="Q26" s="27"/>
      <c r="R26" s="27"/>
      <c r="S26" s="27"/>
    </row>
    <row r="27" spans="1:19" ht="33" customHeight="1" x14ac:dyDescent="0.25">
      <c r="D27" s="35"/>
      <c r="E27" s="26"/>
      <c r="F27" s="26"/>
      <c r="G27" s="35"/>
      <c r="H27" s="452"/>
      <c r="I27" s="23" t="s">
        <v>47</v>
      </c>
      <c r="J27" s="23" t="s">
        <v>945</v>
      </c>
      <c r="K27" s="353" t="s">
        <v>946</v>
      </c>
      <c r="L27" s="1" t="s">
        <v>48</v>
      </c>
      <c r="N27" s="26"/>
      <c r="O27" s="35"/>
    </row>
    <row r="28" spans="1:19" ht="32.25" customHeight="1" x14ac:dyDescent="0.25">
      <c r="D28" s="35"/>
      <c r="E28" s="26"/>
      <c r="F28" s="26"/>
      <c r="G28" s="23" t="s">
        <v>49</v>
      </c>
      <c r="H28" s="358">
        <f>IF(ISNUMBER(H21),H21,"")</f>
        <v>2020</v>
      </c>
      <c r="I28" s="402"/>
      <c r="J28" s="403"/>
      <c r="K28" s="402"/>
      <c r="L28" s="402"/>
      <c r="M28" s="36"/>
      <c r="N28" s="26"/>
      <c r="O28" s="35"/>
    </row>
    <row r="29" spans="1:19" ht="5.25" customHeight="1" x14ac:dyDescent="0.3">
      <c r="G29" s="37"/>
      <c r="H29" s="359"/>
      <c r="I29" s="360"/>
      <c r="J29" s="361"/>
      <c r="K29" s="362"/>
      <c r="L29" s="362"/>
      <c r="M29" s="356"/>
    </row>
    <row r="30" spans="1:19" ht="17.25" customHeight="1" x14ac:dyDescent="0.3">
      <c r="A30" s="22"/>
      <c r="D30" s="35"/>
      <c r="E30" s="28"/>
      <c r="G30" s="23" t="s">
        <v>51</v>
      </c>
      <c r="H30" s="363" t="str">
        <f>IF(ISNUMBER(H15),H15,"")</f>
        <v/>
      </c>
      <c r="I30" s="364" t="str">
        <f>IF(AND(ISNUMBER(H30),ISTEXT(I28)),I28,"")</f>
        <v/>
      </c>
      <c r="J30" s="404"/>
      <c r="K30" s="405"/>
      <c r="L30" s="364" t="str">
        <f>IF(AND(ISNUMBER(H30),ISTEXT(L28)),L28,"")</f>
        <v/>
      </c>
      <c r="M30" s="36"/>
      <c r="N30" s="26"/>
    </row>
    <row r="31" spans="1:19" ht="17.25" customHeight="1" x14ac:dyDescent="0.3">
      <c r="A31" s="22"/>
      <c r="G31" s="23" t="s">
        <v>52</v>
      </c>
      <c r="H31" s="363" t="str">
        <f>IF(ISNUMBER(H17),H17,"")</f>
        <v/>
      </c>
      <c r="I31" s="364" t="str">
        <f>IF(AND(ISNUMBER(H31),ISTEXT(I28)),I28,"")</f>
        <v/>
      </c>
      <c r="J31" s="404"/>
      <c r="K31" s="405"/>
      <c r="L31" s="364" t="str">
        <f>IF(AND(ISNUMBER(H31),ISTEXT(L28)),L28,"")</f>
        <v/>
      </c>
      <c r="M31" s="36"/>
    </row>
    <row r="32" spans="1:19" ht="17.25" customHeight="1" x14ac:dyDescent="0.3">
      <c r="A32" s="22"/>
      <c r="G32" s="23" t="s">
        <v>53</v>
      </c>
      <c r="H32" s="363" t="str">
        <f>IF(ISNUMBER(H19),H19,"")</f>
        <v/>
      </c>
      <c r="I32" s="364" t="str">
        <f>IF(AND(ISNUMBER(H32),ISTEXT(I28)),I28,"")</f>
        <v/>
      </c>
      <c r="J32" s="404"/>
      <c r="K32" s="405"/>
      <c r="L32" s="364" t="str">
        <f>IF(AND(ISNUMBER(H32),ISTEXT(L28)),L28,"")</f>
        <v/>
      </c>
      <c r="M32" s="36"/>
    </row>
    <row r="33" spans="1:14" ht="5.25" customHeight="1" x14ac:dyDescent="0.3">
      <c r="A33" s="22"/>
      <c r="E33" s="35"/>
      <c r="M33" s="36"/>
    </row>
    <row r="34" spans="1:14" ht="17.25" customHeight="1" x14ac:dyDescent="0.3">
      <c r="A34" s="22"/>
      <c r="D34" s="39"/>
    </row>
    <row r="35" spans="1:14" ht="18.75" customHeight="1" x14ac:dyDescent="0.3">
      <c r="A35" s="22"/>
      <c r="D35" s="440" t="s">
        <v>54</v>
      </c>
      <c r="E35" s="440"/>
      <c r="F35" s="440"/>
      <c r="G35" s="440"/>
      <c r="H35" s="440"/>
      <c r="I35" s="440"/>
      <c r="J35" s="440"/>
      <c r="K35" s="440"/>
      <c r="L35" s="440"/>
      <c r="M35" s="440"/>
      <c r="N35" s="440"/>
    </row>
    <row r="36" spans="1:14" ht="18.75" customHeight="1" x14ac:dyDescent="0.3">
      <c r="A36" s="22"/>
      <c r="D36" s="440"/>
      <c r="E36" s="440"/>
      <c r="F36" s="440"/>
      <c r="G36" s="440"/>
      <c r="H36" s="440"/>
      <c r="I36" s="440"/>
      <c r="J36" s="440"/>
      <c r="K36" s="440"/>
      <c r="L36" s="440"/>
      <c r="M36" s="440"/>
      <c r="N36" s="440"/>
    </row>
    <row r="37" spans="1:14" ht="6" customHeight="1" x14ac:dyDescent="0.3">
      <c r="A37" s="22"/>
      <c r="E37" s="35"/>
      <c r="F37" s="35"/>
      <c r="G37" s="35"/>
      <c r="H37" s="35"/>
      <c r="I37" s="35"/>
      <c r="J37" s="35"/>
      <c r="K37" s="35"/>
      <c r="L37" s="35"/>
      <c r="M37" s="35"/>
      <c r="N37" s="35"/>
    </row>
    <row r="38" spans="1:14" ht="17.25" customHeight="1" x14ac:dyDescent="0.3">
      <c r="A38" s="22"/>
      <c r="H38" s="451" t="s">
        <v>45</v>
      </c>
      <c r="I38" s="441" t="s">
        <v>943</v>
      </c>
      <c r="J38" s="442"/>
      <c r="K38" s="441" t="s">
        <v>944</v>
      </c>
      <c r="L38" s="442"/>
    </row>
    <row r="39" spans="1:14" ht="33" customHeight="1" x14ac:dyDescent="0.25">
      <c r="G39" s="35"/>
      <c r="H39" s="452"/>
      <c r="I39" s="23" t="s">
        <v>55</v>
      </c>
      <c r="J39" s="1" t="s">
        <v>56</v>
      </c>
      <c r="K39" s="354" t="s">
        <v>55</v>
      </c>
      <c r="L39" s="353" t="s">
        <v>56</v>
      </c>
    </row>
    <row r="40" spans="1:14" ht="30.75" customHeight="1" x14ac:dyDescent="0.25">
      <c r="G40" s="23" t="s">
        <v>49</v>
      </c>
      <c r="H40" s="365">
        <f>IF(ISNUMBER(H21),H21,"")</f>
        <v>2020</v>
      </c>
      <c r="I40" s="401"/>
      <c r="J40" s="400"/>
      <c r="K40" s="401"/>
      <c r="L40" s="400"/>
      <c r="N40" s="40"/>
    </row>
    <row r="41" spans="1:14" ht="5.25" customHeight="1" x14ac:dyDescent="0.25">
      <c r="G41" s="37"/>
      <c r="H41" s="366"/>
      <c r="I41" s="366"/>
      <c r="J41" s="362"/>
      <c r="K41" s="366"/>
      <c r="L41" s="362"/>
    </row>
    <row r="42" spans="1:14" ht="18" customHeight="1" x14ac:dyDescent="0.25">
      <c r="G42" s="23" t="s">
        <v>51</v>
      </c>
      <c r="H42" s="363" t="str">
        <f>IF(ISNUMBER(H15),H15,"")</f>
        <v/>
      </c>
      <c r="I42" s="399"/>
      <c r="J42" s="399"/>
      <c r="K42" s="399"/>
      <c r="L42" s="399"/>
    </row>
    <row r="43" spans="1:14" ht="18" customHeight="1" x14ac:dyDescent="0.25">
      <c r="G43" s="23" t="s">
        <v>52</v>
      </c>
      <c r="H43" s="365" t="str">
        <f>IF(ISNUMBER(H17),H17,"")</f>
        <v/>
      </c>
      <c r="I43" s="400"/>
      <c r="J43" s="399"/>
      <c r="K43" s="400"/>
      <c r="L43" s="399"/>
    </row>
    <row r="44" spans="1:14" ht="16.5" customHeight="1" x14ac:dyDescent="0.25">
      <c r="G44" s="23" t="s">
        <v>53</v>
      </c>
      <c r="H44" s="365" t="str">
        <f>IF(ISNUMBER(H19),H19,"")</f>
        <v/>
      </c>
      <c r="I44" s="400"/>
      <c r="J44" s="399"/>
      <c r="K44" s="400"/>
      <c r="L44" s="399"/>
    </row>
    <row r="45" spans="1:14" ht="6" customHeight="1" x14ac:dyDescent="0.25"/>
    <row r="46" spans="1:14" ht="18.75" customHeight="1" x14ac:dyDescent="0.25"/>
    <row r="47" spans="1:14" ht="18.75" customHeight="1" x14ac:dyDescent="0.25">
      <c r="D47" s="440" t="s">
        <v>1010</v>
      </c>
      <c r="E47" s="440"/>
      <c r="F47" s="440"/>
      <c r="G47" s="440"/>
      <c r="H47" s="440"/>
      <c r="I47" s="440"/>
      <c r="J47" s="440"/>
      <c r="K47" s="440"/>
      <c r="L47" s="440"/>
      <c r="M47" s="440"/>
      <c r="N47" s="440"/>
    </row>
    <row r="48" spans="1:14" ht="22.5" customHeight="1" x14ac:dyDescent="0.25">
      <c r="D48" s="440"/>
      <c r="E48" s="440"/>
      <c r="F48" s="440"/>
      <c r="G48" s="440"/>
      <c r="H48" s="440"/>
      <c r="I48" s="440"/>
      <c r="J48" s="440"/>
      <c r="K48" s="440"/>
      <c r="L48" s="440"/>
      <c r="M48" s="440"/>
      <c r="N48" s="440"/>
    </row>
    <row r="50" spans="7:15" ht="48" customHeight="1" x14ac:dyDescent="0.25">
      <c r="G50" s="35"/>
      <c r="H50" s="441" t="s">
        <v>1011</v>
      </c>
      <c r="I50" s="442"/>
      <c r="J50" s="388" t="s">
        <v>66</v>
      </c>
      <c r="K50" s="389" t="s">
        <v>1012</v>
      </c>
      <c r="L50" s="389" t="s">
        <v>1013</v>
      </c>
      <c r="M50" s="389" t="s">
        <v>1014</v>
      </c>
      <c r="N50" s="389" t="s">
        <v>1015</v>
      </c>
      <c r="O50" s="389" t="s">
        <v>22</v>
      </c>
    </row>
    <row r="51" spans="7:15" ht="16.5" hidden="1" x14ac:dyDescent="0.25">
      <c r="G51" s="390" t="s">
        <v>1004</v>
      </c>
      <c r="H51" s="443" t="s">
        <v>1005</v>
      </c>
      <c r="I51" s="444"/>
      <c r="J51" s="390"/>
      <c r="K51" s="390" t="s">
        <v>1006</v>
      </c>
      <c r="L51" s="391" t="s">
        <v>1007</v>
      </c>
      <c r="M51" s="391" t="s">
        <v>1008</v>
      </c>
      <c r="N51" s="391" t="s">
        <v>1009</v>
      </c>
      <c r="O51" s="391"/>
    </row>
    <row r="52" spans="7:15" ht="16.5" hidden="1" x14ac:dyDescent="0.25">
      <c r="G52" s="390"/>
      <c r="H52" s="443"/>
      <c r="I52" s="444"/>
      <c r="J52" s="390"/>
      <c r="K52" s="390"/>
      <c r="L52" s="391"/>
      <c r="M52" s="391"/>
      <c r="N52" s="391"/>
      <c r="O52" s="391"/>
    </row>
    <row r="53" spans="7:15" x14ac:dyDescent="0.25">
      <c r="G53" s="392">
        <v>1</v>
      </c>
      <c r="H53" s="445"/>
      <c r="I53" s="445"/>
      <c r="J53" s="398"/>
      <c r="K53" s="398"/>
      <c r="L53" s="398"/>
      <c r="M53" s="398"/>
      <c r="N53" s="398"/>
      <c r="O53" s="398"/>
    </row>
    <row r="54" spans="7:15" x14ac:dyDescent="0.25">
      <c r="G54" s="392">
        <v>2</v>
      </c>
      <c r="H54" s="437"/>
      <c r="I54" s="437"/>
      <c r="J54" s="398"/>
      <c r="K54" s="398"/>
      <c r="L54" s="398"/>
      <c r="M54" s="398"/>
      <c r="N54" s="398"/>
      <c r="O54" s="398"/>
    </row>
    <row r="55" spans="7:15" x14ac:dyDescent="0.25">
      <c r="G55" s="392">
        <v>3</v>
      </c>
      <c r="H55" s="437"/>
      <c r="I55" s="437"/>
      <c r="J55" s="398"/>
      <c r="K55" s="398"/>
      <c r="L55" s="398"/>
      <c r="M55" s="398"/>
      <c r="N55" s="398"/>
      <c r="O55" s="398"/>
    </row>
    <row r="56" spans="7:15" x14ac:dyDescent="0.25">
      <c r="G56" s="392">
        <v>4</v>
      </c>
      <c r="H56" s="437"/>
      <c r="I56" s="437"/>
      <c r="J56" s="398"/>
      <c r="K56" s="398"/>
      <c r="L56" s="398"/>
      <c r="M56" s="398"/>
      <c r="N56" s="398"/>
      <c r="O56" s="398"/>
    </row>
    <row r="57" spans="7:15" x14ac:dyDescent="0.25">
      <c r="G57" s="392">
        <v>5</v>
      </c>
      <c r="H57" s="437"/>
      <c r="I57" s="437"/>
      <c r="J57" s="398"/>
      <c r="K57" s="398"/>
      <c r="L57" s="398"/>
      <c r="M57" s="398"/>
      <c r="N57" s="398"/>
      <c r="O57" s="398"/>
    </row>
    <row r="58" spans="7:15" x14ac:dyDescent="0.25">
      <c r="G58" s="392">
        <v>6</v>
      </c>
      <c r="H58" s="437"/>
      <c r="I58" s="437"/>
      <c r="J58" s="398"/>
      <c r="K58" s="398"/>
      <c r="L58" s="398"/>
      <c r="M58" s="398"/>
      <c r="N58" s="398"/>
      <c r="O58" s="398"/>
    </row>
    <row r="59" spans="7:15" x14ac:dyDescent="0.25">
      <c r="G59" s="392">
        <v>7</v>
      </c>
      <c r="H59" s="437"/>
      <c r="I59" s="437"/>
      <c r="J59" s="398"/>
      <c r="K59" s="398"/>
      <c r="L59" s="398"/>
      <c r="M59" s="398"/>
      <c r="N59" s="398"/>
      <c r="O59" s="398"/>
    </row>
    <row r="60" spans="7:15" x14ac:dyDescent="0.25">
      <c r="G60" s="392">
        <v>8</v>
      </c>
      <c r="H60" s="437"/>
      <c r="I60" s="437"/>
      <c r="J60" s="398"/>
      <c r="K60" s="398"/>
      <c r="L60" s="398"/>
      <c r="M60" s="398"/>
      <c r="N60" s="398"/>
      <c r="O60" s="398"/>
    </row>
    <row r="61" spans="7:15" x14ac:dyDescent="0.25">
      <c r="G61" s="392">
        <v>9</v>
      </c>
      <c r="H61" s="437"/>
      <c r="I61" s="437"/>
      <c r="J61" s="398"/>
      <c r="K61" s="398"/>
      <c r="L61" s="398"/>
      <c r="M61" s="398"/>
      <c r="N61" s="398"/>
      <c r="O61" s="398"/>
    </row>
    <row r="62" spans="7:15" x14ac:dyDescent="0.25">
      <c r="G62" s="392">
        <v>10</v>
      </c>
      <c r="H62" s="437"/>
      <c r="I62" s="437"/>
      <c r="J62" s="398"/>
      <c r="K62" s="398"/>
      <c r="L62" s="398"/>
      <c r="M62" s="398"/>
      <c r="N62" s="398"/>
      <c r="O62" s="398"/>
    </row>
    <row r="63" spans="7:15" x14ac:dyDescent="0.25">
      <c r="G63" s="392">
        <v>11</v>
      </c>
      <c r="H63" s="437"/>
      <c r="I63" s="437"/>
      <c r="J63" s="398"/>
      <c r="K63" s="398"/>
      <c r="L63" s="398"/>
      <c r="M63" s="398"/>
      <c r="N63" s="398"/>
      <c r="O63" s="398"/>
    </row>
    <row r="64" spans="7:15" x14ac:dyDescent="0.25">
      <c r="G64" s="392">
        <v>12</v>
      </c>
      <c r="H64" s="437"/>
      <c r="I64" s="437"/>
      <c r="J64" s="398"/>
      <c r="K64" s="398"/>
      <c r="L64" s="398"/>
      <c r="M64" s="398"/>
      <c r="N64" s="398"/>
      <c r="O64" s="398"/>
    </row>
    <row r="65" spans="5:15" x14ac:dyDescent="0.25">
      <c r="G65" s="392">
        <v>13</v>
      </c>
      <c r="H65" s="437"/>
      <c r="I65" s="437"/>
      <c r="J65" s="398"/>
      <c r="K65" s="398"/>
      <c r="L65" s="398"/>
      <c r="M65" s="398"/>
      <c r="N65" s="398"/>
      <c r="O65" s="398"/>
    </row>
    <row r="66" spans="5:15" x14ac:dyDescent="0.25">
      <c r="G66" s="392">
        <v>14</v>
      </c>
      <c r="H66" s="437"/>
      <c r="I66" s="437"/>
      <c r="J66" s="398"/>
      <c r="K66" s="398"/>
      <c r="L66" s="398"/>
      <c r="M66" s="398"/>
      <c r="N66" s="398"/>
      <c r="O66" s="398"/>
    </row>
    <row r="67" spans="5:15" x14ac:dyDescent="0.25">
      <c r="G67" s="392">
        <v>15</v>
      </c>
      <c r="H67" s="437"/>
      <c r="I67" s="437"/>
      <c r="J67" s="398"/>
      <c r="K67" s="398"/>
      <c r="L67" s="398"/>
      <c r="M67" s="398"/>
      <c r="N67" s="398"/>
      <c r="O67" s="398"/>
    </row>
    <row r="68" spans="5:15" x14ac:dyDescent="0.25">
      <c r="E68" s="20"/>
      <c r="F68" s="20"/>
      <c r="G68" s="392">
        <v>16</v>
      </c>
      <c r="H68" s="437"/>
      <c r="I68" s="437"/>
      <c r="J68" s="398"/>
      <c r="K68" s="398"/>
      <c r="L68" s="398"/>
      <c r="M68" s="398"/>
      <c r="N68" s="398"/>
      <c r="O68" s="398"/>
    </row>
    <row r="69" spans="5:15" x14ac:dyDescent="0.25">
      <c r="G69" s="392">
        <v>17</v>
      </c>
      <c r="H69" s="437"/>
      <c r="I69" s="437"/>
      <c r="J69" s="398"/>
      <c r="K69" s="398"/>
      <c r="L69" s="398"/>
      <c r="M69" s="398"/>
      <c r="N69" s="398"/>
      <c r="O69" s="398"/>
    </row>
    <row r="70" spans="5:15" x14ac:dyDescent="0.25">
      <c r="G70" s="392">
        <v>18</v>
      </c>
      <c r="H70" s="437"/>
      <c r="I70" s="437"/>
      <c r="J70" s="398"/>
      <c r="K70" s="398"/>
      <c r="L70" s="398"/>
      <c r="M70" s="398"/>
      <c r="N70" s="398"/>
      <c r="O70" s="398"/>
    </row>
    <row r="71" spans="5:15" x14ac:dyDescent="0.25">
      <c r="G71" s="392">
        <v>19</v>
      </c>
      <c r="H71" s="437"/>
      <c r="I71" s="437"/>
      <c r="J71" s="398"/>
      <c r="K71" s="398"/>
      <c r="L71" s="398"/>
      <c r="M71" s="398"/>
      <c r="N71" s="398"/>
      <c r="O71" s="398"/>
    </row>
    <row r="72" spans="5:15" x14ac:dyDescent="0.25">
      <c r="G72" s="392">
        <v>20</v>
      </c>
      <c r="H72" s="437"/>
      <c r="I72" s="437"/>
      <c r="J72" s="398"/>
      <c r="K72" s="398"/>
      <c r="L72" s="398"/>
      <c r="M72" s="398"/>
      <c r="N72" s="398"/>
      <c r="O72" s="398"/>
    </row>
    <row r="73" spans="5:15" x14ac:dyDescent="0.25">
      <c r="G73" s="392">
        <v>21</v>
      </c>
      <c r="H73" s="437"/>
      <c r="I73" s="437"/>
      <c r="J73" s="398"/>
      <c r="K73" s="398"/>
      <c r="L73" s="398"/>
      <c r="M73" s="398"/>
      <c r="N73" s="398"/>
      <c r="O73" s="398"/>
    </row>
    <row r="74" spans="5:15" x14ac:dyDescent="0.25">
      <c r="G74" s="392">
        <v>22</v>
      </c>
      <c r="H74" s="437"/>
      <c r="I74" s="437"/>
      <c r="J74" s="398"/>
      <c r="K74" s="398"/>
      <c r="L74" s="398"/>
      <c r="M74" s="398"/>
      <c r="N74" s="398"/>
      <c r="O74" s="398"/>
    </row>
    <row r="75" spans="5:15" x14ac:dyDescent="0.25">
      <c r="G75" s="392">
        <v>23</v>
      </c>
      <c r="H75" s="437"/>
      <c r="I75" s="437"/>
      <c r="J75" s="398"/>
      <c r="K75" s="398"/>
      <c r="L75" s="398"/>
      <c r="M75" s="398"/>
      <c r="N75" s="398"/>
      <c r="O75" s="398"/>
    </row>
    <row r="76" spans="5:15" x14ac:dyDescent="0.25">
      <c r="G76" s="392">
        <v>24</v>
      </c>
      <c r="H76" s="437"/>
      <c r="I76" s="437"/>
      <c r="J76" s="398"/>
      <c r="K76" s="398"/>
      <c r="L76" s="398"/>
      <c r="M76" s="398"/>
      <c r="N76" s="398"/>
      <c r="O76" s="398"/>
    </row>
    <row r="77" spans="5:15" x14ac:dyDescent="0.25">
      <c r="G77" s="392">
        <v>25</v>
      </c>
      <c r="H77" s="437"/>
      <c r="I77" s="437"/>
      <c r="J77" s="398"/>
      <c r="K77" s="398"/>
      <c r="L77" s="398"/>
      <c r="M77" s="398"/>
      <c r="N77" s="398"/>
      <c r="O77" s="398"/>
    </row>
    <row r="78" spans="5:15" x14ac:dyDescent="0.25">
      <c r="G78" s="392">
        <v>26</v>
      </c>
      <c r="H78" s="437"/>
      <c r="I78" s="437"/>
      <c r="J78" s="398"/>
      <c r="K78" s="398"/>
      <c r="L78" s="398"/>
      <c r="M78" s="398"/>
      <c r="N78" s="398"/>
      <c r="O78" s="398"/>
    </row>
    <row r="79" spans="5:15" x14ac:dyDescent="0.25">
      <c r="G79" s="392">
        <v>27</v>
      </c>
      <c r="H79" s="437"/>
      <c r="I79" s="437"/>
      <c r="J79" s="398"/>
      <c r="K79" s="398"/>
      <c r="L79" s="398"/>
      <c r="M79" s="398"/>
      <c r="N79" s="398"/>
      <c r="O79" s="398"/>
    </row>
    <row r="80" spans="5:15" x14ac:dyDescent="0.25">
      <c r="G80" s="392">
        <v>28</v>
      </c>
      <c r="H80" s="437"/>
      <c r="I80" s="437"/>
      <c r="J80" s="398"/>
      <c r="K80" s="398"/>
      <c r="L80" s="398"/>
      <c r="M80" s="398"/>
      <c r="N80" s="398"/>
      <c r="O80" s="398"/>
    </row>
    <row r="81" spans="4:15" x14ac:dyDescent="0.25">
      <c r="G81" s="392">
        <v>29</v>
      </c>
      <c r="H81" s="437"/>
      <c r="I81" s="437"/>
      <c r="J81" s="398"/>
      <c r="K81" s="398"/>
      <c r="L81" s="398"/>
      <c r="M81" s="398"/>
      <c r="N81" s="398"/>
      <c r="O81" s="398"/>
    </row>
    <row r="82" spans="4:15" x14ac:dyDescent="0.25">
      <c r="G82" s="392">
        <v>30</v>
      </c>
      <c r="H82" s="437"/>
      <c r="I82" s="437"/>
      <c r="J82" s="398"/>
      <c r="K82" s="398"/>
      <c r="L82" s="398"/>
      <c r="M82" s="398"/>
      <c r="N82" s="398"/>
      <c r="O82" s="398"/>
    </row>
    <row r="83" spans="4:15" x14ac:dyDescent="0.25">
      <c r="G83" s="392">
        <v>31</v>
      </c>
      <c r="H83" s="437"/>
      <c r="I83" s="437"/>
      <c r="J83" s="398"/>
      <c r="K83" s="398"/>
      <c r="L83" s="398"/>
      <c r="M83" s="398"/>
      <c r="N83" s="398"/>
      <c r="O83" s="398"/>
    </row>
    <row r="84" spans="4:15" x14ac:dyDescent="0.25">
      <c r="G84" s="392">
        <v>32</v>
      </c>
      <c r="H84" s="437"/>
      <c r="I84" s="437"/>
      <c r="J84" s="398"/>
      <c r="K84" s="398"/>
      <c r="L84" s="398"/>
      <c r="M84" s="398"/>
      <c r="N84" s="398"/>
      <c r="O84" s="398"/>
    </row>
    <row r="85" spans="4:15" x14ac:dyDescent="0.25">
      <c r="G85" s="392">
        <v>33</v>
      </c>
      <c r="H85" s="437"/>
      <c r="I85" s="437"/>
      <c r="J85" s="398"/>
      <c r="K85" s="398"/>
      <c r="L85" s="398"/>
      <c r="M85" s="398"/>
      <c r="N85" s="398"/>
      <c r="O85" s="398"/>
    </row>
    <row r="86" spans="4:15" x14ac:dyDescent="0.25">
      <c r="G86" s="392">
        <v>34</v>
      </c>
      <c r="H86" s="437"/>
      <c r="I86" s="437"/>
      <c r="J86" s="398"/>
      <c r="K86" s="398"/>
      <c r="L86" s="398"/>
      <c r="M86" s="398"/>
      <c r="N86" s="398"/>
      <c r="O86" s="398"/>
    </row>
    <row r="87" spans="4:15" x14ac:dyDescent="0.25">
      <c r="G87" s="392">
        <v>35</v>
      </c>
      <c r="H87" s="437"/>
      <c r="I87" s="437"/>
      <c r="J87" s="398"/>
      <c r="K87" s="398"/>
      <c r="L87" s="398"/>
      <c r="M87" s="398"/>
      <c r="N87" s="398"/>
      <c r="O87" s="398"/>
    </row>
    <row r="88" spans="4:15" x14ac:dyDescent="0.25">
      <c r="G88" s="392">
        <v>36</v>
      </c>
      <c r="H88" s="437"/>
      <c r="I88" s="437"/>
      <c r="J88" s="398"/>
      <c r="K88" s="398"/>
      <c r="L88" s="398"/>
      <c r="M88" s="398"/>
      <c r="N88" s="398"/>
      <c r="O88" s="398"/>
    </row>
    <row r="89" spans="4:15" x14ac:dyDescent="0.25">
      <c r="G89" s="392">
        <v>37</v>
      </c>
      <c r="H89" s="437"/>
      <c r="I89" s="437"/>
      <c r="J89" s="398"/>
      <c r="K89" s="398"/>
      <c r="L89" s="398"/>
      <c r="M89" s="398"/>
      <c r="N89" s="398"/>
      <c r="O89" s="398"/>
    </row>
    <row r="90" spans="4:15" x14ac:dyDescent="0.25">
      <c r="G90" s="392">
        <v>38</v>
      </c>
      <c r="H90" s="437"/>
      <c r="I90" s="437"/>
      <c r="J90" s="398"/>
      <c r="K90" s="398"/>
      <c r="L90" s="398"/>
      <c r="M90" s="398"/>
      <c r="N90" s="398"/>
      <c r="O90" s="398"/>
    </row>
    <row r="91" spans="4:15" x14ac:dyDescent="0.25">
      <c r="G91" s="392">
        <v>39</v>
      </c>
      <c r="H91" s="437"/>
      <c r="I91" s="437"/>
      <c r="J91" s="398"/>
      <c r="K91" s="398"/>
      <c r="L91" s="398"/>
      <c r="M91" s="398"/>
      <c r="N91" s="398"/>
      <c r="O91" s="398"/>
    </row>
    <row r="92" spans="4:15" x14ac:dyDescent="0.25">
      <c r="G92" s="392">
        <v>40</v>
      </c>
      <c r="H92" s="437"/>
      <c r="I92" s="437"/>
      <c r="J92" s="398"/>
      <c r="K92" s="398"/>
      <c r="L92" s="398"/>
      <c r="M92" s="398"/>
      <c r="N92" s="398"/>
      <c r="O92" s="398"/>
    </row>
    <row r="93" spans="4:15" x14ac:dyDescent="0.25">
      <c r="G93" s="392">
        <v>41</v>
      </c>
      <c r="H93" s="437"/>
      <c r="I93" s="437"/>
      <c r="J93" s="398"/>
      <c r="K93" s="398"/>
      <c r="L93" s="398"/>
      <c r="M93" s="398"/>
      <c r="N93" s="398"/>
      <c r="O93" s="398"/>
    </row>
    <row r="94" spans="4:15" x14ac:dyDescent="0.25">
      <c r="G94" s="392">
        <v>42</v>
      </c>
      <c r="H94" s="437"/>
      <c r="I94" s="437"/>
      <c r="J94" s="398"/>
      <c r="K94" s="398"/>
      <c r="L94" s="398"/>
      <c r="M94" s="398"/>
      <c r="N94" s="398"/>
      <c r="O94" s="398"/>
    </row>
    <row r="95" spans="4:15" x14ac:dyDescent="0.25">
      <c r="D95" s="36"/>
      <c r="E95" s="36"/>
      <c r="F95" s="36"/>
      <c r="G95" s="392">
        <v>43</v>
      </c>
      <c r="H95" s="437"/>
      <c r="I95" s="437"/>
      <c r="J95" s="398"/>
      <c r="K95" s="398"/>
      <c r="L95" s="398"/>
      <c r="M95" s="398"/>
      <c r="N95" s="398"/>
      <c r="O95" s="398"/>
    </row>
    <row r="96" spans="4:15" x14ac:dyDescent="0.25">
      <c r="D96" s="36"/>
      <c r="E96" s="36"/>
      <c r="F96" s="36"/>
      <c r="G96" s="392">
        <v>44</v>
      </c>
      <c r="H96" s="437"/>
      <c r="I96" s="437"/>
      <c r="J96" s="398"/>
      <c r="K96" s="398"/>
      <c r="L96" s="398"/>
      <c r="M96" s="398"/>
      <c r="N96" s="398"/>
      <c r="O96" s="398"/>
    </row>
    <row r="97" spans="4:15" x14ac:dyDescent="0.25">
      <c r="D97" s="36"/>
      <c r="E97" s="36"/>
      <c r="F97" s="36"/>
      <c r="G97" s="392">
        <v>45</v>
      </c>
      <c r="H97" s="437"/>
      <c r="I97" s="437"/>
      <c r="J97" s="398"/>
      <c r="K97" s="398"/>
      <c r="L97" s="398"/>
      <c r="M97" s="398"/>
      <c r="N97" s="398"/>
      <c r="O97" s="398"/>
    </row>
    <row r="98" spans="4:15" x14ac:dyDescent="0.25">
      <c r="D98" s="36"/>
      <c r="E98" s="36"/>
      <c r="F98" s="36"/>
      <c r="G98" s="392">
        <v>46</v>
      </c>
      <c r="H98" s="437"/>
      <c r="I98" s="437"/>
      <c r="J98" s="398"/>
      <c r="K98" s="398"/>
      <c r="L98" s="398"/>
      <c r="M98" s="398"/>
      <c r="N98" s="398"/>
      <c r="O98" s="398"/>
    </row>
    <row r="99" spans="4:15" x14ac:dyDescent="0.25">
      <c r="D99" s="36"/>
      <c r="E99" s="36"/>
      <c r="F99" s="36"/>
      <c r="G99" s="392">
        <v>47</v>
      </c>
      <c r="H99" s="437"/>
      <c r="I99" s="437"/>
      <c r="J99" s="398"/>
      <c r="K99" s="398"/>
      <c r="L99" s="398"/>
      <c r="M99" s="398"/>
      <c r="N99" s="398"/>
      <c r="O99" s="398"/>
    </row>
    <row r="100" spans="4:15" x14ac:dyDescent="0.25">
      <c r="D100" s="36"/>
      <c r="E100" s="36"/>
      <c r="F100" s="36"/>
      <c r="G100" s="392">
        <v>48</v>
      </c>
      <c r="H100" s="437"/>
      <c r="I100" s="437"/>
      <c r="J100" s="398"/>
      <c r="K100" s="398"/>
      <c r="L100" s="398"/>
      <c r="M100" s="398"/>
      <c r="N100" s="398"/>
      <c r="O100" s="398"/>
    </row>
    <row r="101" spans="4:15" x14ac:dyDescent="0.25">
      <c r="D101" s="36"/>
      <c r="E101" s="36"/>
      <c r="F101" s="36"/>
      <c r="G101" s="392">
        <v>49</v>
      </c>
      <c r="H101" s="437"/>
      <c r="I101" s="437"/>
      <c r="J101" s="398"/>
      <c r="K101" s="398"/>
      <c r="L101" s="398"/>
      <c r="M101" s="398"/>
      <c r="N101" s="398"/>
      <c r="O101" s="398"/>
    </row>
    <row r="102" spans="4:15" x14ac:dyDescent="0.25">
      <c r="D102" s="36"/>
      <c r="E102" s="36"/>
      <c r="F102" s="36"/>
      <c r="G102" s="392">
        <v>50</v>
      </c>
      <c r="H102" s="437"/>
      <c r="I102" s="437"/>
      <c r="J102" s="398"/>
      <c r="K102" s="398"/>
      <c r="L102" s="398"/>
      <c r="M102" s="398"/>
      <c r="N102" s="398"/>
      <c r="O102" s="398"/>
    </row>
    <row r="103" spans="4:15" x14ac:dyDescent="0.25">
      <c r="D103" s="36"/>
      <c r="E103" s="36"/>
      <c r="F103" s="36"/>
      <c r="G103" s="392">
        <v>51</v>
      </c>
      <c r="H103" s="437"/>
      <c r="I103" s="437"/>
      <c r="J103" s="398"/>
      <c r="K103" s="398"/>
      <c r="L103" s="398"/>
      <c r="M103" s="398"/>
      <c r="N103" s="398"/>
      <c r="O103" s="398"/>
    </row>
    <row r="104" spans="4:15" x14ac:dyDescent="0.25">
      <c r="D104" s="36"/>
      <c r="E104" s="36"/>
      <c r="F104" s="36"/>
      <c r="G104" s="392">
        <v>52</v>
      </c>
      <c r="H104" s="437"/>
      <c r="I104" s="437"/>
      <c r="J104" s="398"/>
      <c r="K104" s="398"/>
      <c r="L104" s="398"/>
      <c r="M104" s="398"/>
      <c r="N104" s="398"/>
      <c r="O104" s="398"/>
    </row>
    <row r="105" spans="4:15" x14ac:dyDescent="0.25">
      <c r="D105" s="36"/>
      <c r="E105" s="36"/>
      <c r="F105" s="36"/>
      <c r="G105" s="392">
        <v>53</v>
      </c>
      <c r="H105" s="437"/>
      <c r="I105" s="437"/>
      <c r="J105" s="398"/>
      <c r="K105" s="398"/>
      <c r="L105" s="398"/>
      <c r="M105" s="398"/>
      <c r="N105" s="398"/>
      <c r="O105" s="398"/>
    </row>
    <row r="106" spans="4:15" x14ac:dyDescent="0.25">
      <c r="D106" s="36"/>
      <c r="E106" s="36"/>
      <c r="F106" s="36"/>
      <c r="G106" s="392">
        <v>54</v>
      </c>
      <c r="H106" s="437"/>
      <c r="I106" s="437"/>
      <c r="J106" s="398"/>
      <c r="K106" s="398"/>
      <c r="L106" s="398"/>
      <c r="M106" s="398"/>
      <c r="N106" s="398"/>
      <c r="O106" s="398"/>
    </row>
    <row r="107" spans="4:15" x14ac:dyDescent="0.25">
      <c r="D107" s="36"/>
      <c r="E107" s="36"/>
      <c r="F107" s="36"/>
      <c r="G107" s="392">
        <v>55</v>
      </c>
      <c r="H107" s="437"/>
      <c r="I107" s="437"/>
      <c r="J107" s="398"/>
      <c r="K107" s="398"/>
      <c r="L107" s="398"/>
      <c r="M107" s="398"/>
      <c r="N107" s="398"/>
      <c r="O107" s="398"/>
    </row>
    <row r="108" spans="4:15" x14ac:dyDescent="0.25">
      <c r="D108" s="36"/>
      <c r="E108" s="36"/>
      <c r="F108" s="36"/>
      <c r="G108" s="392">
        <v>56</v>
      </c>
      <c r="H108" s="437"/>
      <c r="I108" s="437"/>
      <c r="J108" s="398"/>
      <c r="K108" s="398"/>
      <c r="L108" s="398"/>
      <c r="M108" s="398"/>
      <c r="N108" s="398"/>
      <c r="O108" s="398"/>
    </row>
    <row r="109" spans="4:15" x14ac:dyDescent="0.25">
      <c r="D109" s="36"/>
      <c r="E109" s="36"/>
      <c r="F109" s="36"/>
      <c r="G109" s="392">
        <v>57</v>
      </c>
      <c r="H109" s="437"/>
      <c r="I109" s="437"/>
      <c r="J109" s="398"/>
      <c r="K109" s="398"/>
      <c r="L109" s="398"/>
      <c r="M109" s="398"/>
      <c r="N109" s="398"/>
      <c r="O109" s="398"/>
    </row>
    <row r="110" spans="4:15" x14ac:dyDescent="0.25">
      <c r="D110" s="36"/>
      <c r="E110" s="36"/>
      <c r="F110" s="36"/>
      <c r="G110" s="392">
        <v>58</v>
      </c>
      <c r="H110" s="437"/>
      <c r="I110" s="437"/>
      <c r="J110" s="398"/>
      <c r="K110" s="398"/>
      <c r="L110" s="398"/>
      <c r="M110" s="398"/>
      <c r="N110" s="398"/>
      <c r="O110" s="398"/>
    </row>
    <row r="111" spans="4:15" x14ac:dyDescent="0.25">
      <c r="G111" s="392">
        <v>59</v>
      </c>
      <c r="H111" s="437"/>
      <c r="I111" s="437"/>
      <c r="J111" s="398"/>
      <c r="K111" s="398"/>
      <c r="L111" s="398"/>
      <c r="M111" s="398"/>
      <c r="N111" s="398"/>
      <c r="O111" s="398"/>
    </row>
    <row r="112" spans="4:15" x14ac:dyDescent="0.25">
      <c r="G112" s="392">
        <v>60</v>
      </c>
      <c r="H112" s="437"/>
      <c r="I112" s="437"/>
      <c r="J112" s="398"/>
      <c r="K112" s="398"/>
      <c r="L112" s="398"/>
      <c r="M112" s="398"/>
      <c r="N112" s="398"/>
      <c r="O112" s="398"/>
    </row>
    <row r="113" spans="7:15" x14ac:dyDescent="0.25">
      <c r="G113" s="392">
        <v>61</v>
      </c>
      <c r="H113" s="437"/>
      <c r="I113" s="437"/>
      <c r="J113" s="398"/>
      <c r="K113" s="398"/>
      <c r="L113" s="398"/>
      <c r="M113" s="398"/>
      <c r="N113" s="398"/>
      <c r="O113" s="398"/>
    </row>
    <row r="114" spans="7:15" x14ac:dyDescent="0.25">
      <c r="G114" s="392">
        <v>62</v>
      </c>
      <c r="H114" s="437"/>
      <c r="I114" s="437"/>
      <c r="J114" s="398"/>
      <c r="K114" s="398"/>
      <c r="L114" s="398"/>
      <c r="M114" s="398"/>
      <c r="N114" s="398"/>
      <c r="O114" s="398"/>
    </row>
    <row r="115" spans="7:15" x14ac:dyDescent="0.25">
      <c r="G115" s="392">
        <v>63</v>
      </c>
      <c r="H115" s="437"/>
      <c r="I115" s="437"/>
      <c r="J115" s="398"/>
      <c r="K115" s="398"/>
      <c r="L115" s="398"/>
      <c r="M115" s="398"/>
      <c r="N115" s="398"/>
      <c r="O115" s="398"/>
    </row>
    <row r="116" spans="7:15" x14ac:dyDescent="0.25">
      <c r="G116" s="392">
        <v>64</v>
      </c>
      <c r="H116" s="437"/>
      <c r="I116" s="437"/>
      <c r="J116" s="398"/>
      <c r="K116" s="398"/>
      <c r="L116" s="398"/>
      <c r="M116" s="398"/>
      <c r="N116" s="398"/>
      <c r="O116" s="398"/>
    </row>
    <row r="117" spans="7:15" x14ac:dyDescent="0.25">
      <c r="G117" s="392">
        <v>65</v>
      </c>
      <c r="H117" s="437"/>
      <c r="I117" s="437"/>
      <c r="J117" s="398"/>
      <c r="K117" s="398"/>
      <c r="L117" s="398"/>
      <c r="M117" s="398"/>
      <c r="N117" s="398"/>
      <c r="O117" s="398"/>
    </row>
    <row r="118" spans="7:15" x14ac:dyDescent="0.25">
      <c r="G118" s="392">
        <v>66</v>
      </c>
      <c r="H118" s="437"/>
      <c r="I118" s="437"/>
      <c r="J118" s="398"/>
      <c r="K118" s="398"/>
      <c r="L118" s="398"/>
      <c r="M118" s="398"/>
      <c r="N118" s="398"/>
      <c r="O118" s="398"/>
    </row>
    <row r="119" spans="7:15" x14ac:dyDescent="0.25">
      <c r="G119" s="392">
        <v>67</v>
      </c>
      <c r="H119" s="437"/>
      <c r="I119" s="437"/>
      <c r="J119" s="398"/>
      <c r="K119" s="398"/>
      <c r="L119" s="398"/>
      <c r="M119" s="398"/>
      <c r="N119" s="398"/>
      <c r="O119" s="398"/>
    </row>
    <row r="120" spans="7:15" x14ac:dyDescent="0.25">
      <c r="G120" s="392">
        <v>68</v>
      </c>
      <c r="H120" s="437"/>
      <c r="I120" s="437"/>
      <c r="J120" s="398"/>
      <c r="K120" s="398"/>
      <c r="L120" s="398"/>
      <c r="M120" s="398"/>
      <c r="N120" s="398"/>
      <c r="O120" s="398"/>
    </row>
    <row r="121" spans="7:15" x14ac:dyDescent="0.25">
      <c r="G121" s="392">
        <v>69</v>
      </c>
      <c r="H121" s="437"/>
      <c r="I121" s="437"/>
      <c r="J121" s="398"/>
      <c r="K121" s="398"/>
      <c r="L121" s="398"/>
      <c r="M121" s="398"/>
      <c r="N121" s="398"/>
      <c r="O121" s="398"/>
    </row>
    <row r="122" spans="7:15" x14ac:dyDescent="0.25">
      <c r="G122" s="392">
        <v>70</v>
      </c>
      <c r="H122" s="437"/>
      <c r="I122" s="437"/>
      <c r="J122" s="398"/>
      <c r="K122" s="398"/>
      <c r="L122" s="398"/>
      <c r="M122" s="398"/>
      <c r="N122" s="398"/>
      <c r="O122" s="398"/>
    </row>
    <row r="123" spans="7:15" x14ac:dyDescent="0.25">
      <c r="G123" s="392">
        <v>71</v>
      </c>
      <c r="H123" s="437"/>
      <c r="I123" s="437"/>
      <c r="J123" s="398"/>
      <c r="K123" s="398"/>
      <c r="L123" s="398"/>
      <c r="M123" s="398"/>
      <c r="N123" s="398"/>
      <c r="O123" s="398"/>
    </row>
    <row r="124" spans="7:15" x14ac:dyDescent="0.25">
      <c r="G124" s="392">
        <v>72</v>
      </c>
      <c r="H124" s="437"/>
      <c r="I124" s="437"/>
      <c r="J124" s="398"/>
      <c r="K124" s="398"/>
      <c r="L124" s="398"/>
      <c r="M124" s="398"/>
      <c r="N124" s="398"/>
      <c r="O124" s="398"/>
    </row>
    <row r="125" spans="7:15" x14ac:dyDescent="0.25">
      <c r="G125" s="392">
        <v>73</v>
      </c>
      <c r="H125" s="437"/>
      <c r="I125" s="437"/>
      <c r="J125" s="398"/>
      <c r="K125" s="398"/>
      <c r="L125" s="398"/>
      <c r="M125" s="398"/>
      <c r="N125" s="398"/>
      <c r="O125" s="398"/>
    </row>
    <row r="126" spans="7:15" x14ac:dyDescent="0.25">
      <c r="G126" s="392">
        <v>74</v>
      </c>
      <c r="H126" s="437"/>
      <c r="I126" s="437"/>
      <c r="J126" s="398"/>
      <c r="K126" s="398"/>
      <c r="L126" s="398"/>
      <c r="M126" s="398"/>
      <c r="N126" s="398"/>
      <c r="O126" s="398"/>
    </row>
    <row r="127" spans="7:15" x14ac:dyDescent="0.25">
      <c r="G127" s="392">
        <v>75</v>
      </c>
      <c r="H127" s="437"/>
      <c r="I127" s="437"/>
      <c r="J127" s="398"/>
      <c r="K127" s="398"/>
      <c r="L127" s="398"/>
      <c r="M127" s="398"/>
      <c r="N127" s="398"/>
      <c r="O127" s="398"/>
    </row>
    <row r="128" spans="7:15" x14ac:dyDescent="0.25">
      <c r="G128" s="392">
        <v>76</v>
      </c>
      <c r="H128" s="437"/>
      <c r="I128" s="437"/>
      <c r="J128" s="398"/>
      <c r="K128" s="398"/>
      <c r="L128" s="398"/>
      <c r="M128" s="398"/>
      <c r="N128" s="398"/>
      <c r="O128" s="398"/>
    </row>
    <row r="129" spans="7:15" x14ac:dyDescent="0.25">
      <c r="G129" s="392">
        <v>77</v>
      </c>
      <c r="H129" s="437"/>
      <c r="I129" s="437"/>
      <c r="J129" s="398"/>
      <c r="K129" s="398"/>
      <c r="L129" s="398"/>
      <c r="M129" s="398"/>
      <c r="N129" s="398"/>
      <c r="O129" s="398"/>
    </row>
    <row r="130" spans="7:15" x14ac:dyDescent="0.25">
      <c r="G130" s="392">
        <v>78</v>
      </c>
      <c r="H130" s="437"/>
      <c r="I130" s="437"/>
      <c r="J130" s="398"/>
      <c r="K130" s="398"/>
      <c r="L130" s="398"/>
      <c r="M130" s="398"/>
      <c r="N130" s="398"/>
      <c r="O130" s="398"/>
    </row>
    <row r="131" spans="7:15" x14ac:dyDescent="0.25">
      <c r="G131" s="392">
        <v>79</v>
      </c>
      <c r="H131" s="437"/>
      <c r="I131" s="437"/>
      <c r="J131" s="398"/>
      <c r="K131" s="398"/>
      <c r="L131" s="398"/>
      <c r="M131" s="398"/>
      <c r="N131" s="398"/>
      <c r="O131" s="398"/>
    </row>
    <row r="132" spans="7:15" x14ac:dyDescent="0.25">
      <c r="G132" s="392">
        <v>80</v>
      </c>
      <c r="H132" s="437"/>
      <c r="I132" s="437"/>
      <c r="J132" s="398"/>
      <c r="K132" s="398"/>
      <c r="L132" s="398"/>
      <c r="M132" s="398"/>
      <c r="N132" s="398"/>
      <c r="O132" s="398"/>
    </row>
    <row r="133" spans="7:15" x14ac:dyDescent="0.25">
      <c r="G133" s="392">
        <v>81</v>
      </c>
      <c r="H133" s="437"/>
      <c r="I133" s="437"/>
      <c r="J133" s="398"/>
      <c r="K133" s="398"/>
      <c r="L133" s="398"/>
      <c r="M133" s="398"/>
      <c r="N133" s="398"/>
      <c r="O133" s="398"/>
    </row>
    <row r="134" spans="7:15" x14ac:dyDescent="0.25">
      <c r="G134" s="392">
        <v>82</v>
      </c>
      <c r="H134" s="437"/>
      <c r="I134" s="437"/>
      <c r="J134" s="398"/>
      <c r="K134" s="398"/>
      <c r="L134" s="398"/>
      <c r="M134" s="398"/>
      <c r="N134" s="398"/>
      <c r="O134" s="398"/>
    </row>
    <row r="135" spans="7:15" x14ac:dyDescent="0.25">
      <c r="G135" s="392">
        <v>83</v>
      </c>
      <c r="H135" s="437"/>
      <c r="I135" s="437"/>
      <c r="J135" s="398"/>
      <c r="K135" s="398"/>
      <c r="L135" s="398"/>
      <c r="M135" s="398"/>
      <c r="N135" s="398"/>
      <c r="O135" s="398"/>
    </row>
    <row r="136" spans="7:15" x14ac:dyDescent="0.25">
      <c r="G136" s="392">
        <v>84</v>
      </c>
      <c r="H136" s="437"/>
      <c r="I136" s="437"/>
      <c r="J136" s="398"/>
      <c r="K136" s="398"/>
      <c r="L136" s="398"/>
      <c r="M136" s="398"/>
      <c r="N136" s="398"/>
      <c r="O136" s="398"/>
    </row>
    <row r="137" spans="7:15" x14ac:dyDescent="0.25">
      <c r="G137" s="392">
        <v>85</v>
      </c>
      <c r="H137" s="437"/>
      <c r="I137" s="437"/>
      <c r="J137" s="398"/>
      <c r="K137" s="398"/>
      <c r="L137" s="398"/>
      <c r="M137" s="398"/>
      <c r="N137" s="398"/>
      <c r="O137" s="398"/>
    </row>
    <row r="138" spans="7:15" x14ac:dyDescent="0.25">
      <c r="G138" s="392">
        <v>86</v>
      </c>
      <c r="H138" s="437"/>
      <c r="I138" s="437"/>
      <c r="J138" s="398"/>
      <c r="K138" s="398"/>
      <c r="L138" s="398"/>
      <c r="M138" s="398"/>
      <c r="N138" s="398"/>
      <c r="O138" s="398"/>
    </row>
    <row r="139" spans="7:15" x14ac:dyDescent="0.25">
      <c r="G139" s="392">
        <v>87</v>
      </c>
      <c r="H139" s="437"/>
      <c r="I139" s="437"/>
      <c r="J139" s="398"/>
      <c r="K139" s="398"/>
      <c r="L139" s="398"/>
      <c r="M139" s="398"/>
      <c r="N139" s="398"/>
      <c r="O139" s="398"/>
    </row>
    <row r="140" spans="7:15" x14ac:dyDescent="0.25">
      <c r="G140" s="392">
        <v>88</v>
      </c>
      <c r="H140" s="437"/>
      <c r="I140" s="437"/>
      <c r="J140" s="398"/>
      <c r="K140" s="398"/>
      <c r="L140" s="398"/>
      <c r="M140" s="398"/>
      <c r="N140" s="398"/>
      <c r="O140" s="398"/>
    </row>
    <row r="141" spans="7:15" x14ac:dyDescent="0.25">
      <c r="G141" s="392">
        <v>89</v>
      </c>
      <c r="H141" s="437"/>
      <c r="I141" s="437"/>
      <c r="J141" s="398"/>
      <c r="K141" s="398"/>
      <c r="L141" s="398"/>
      <c r="M141" s="398"/>
      <c r="N141" s="398"/>
      <c r="O141" s="398"/>
    </row>
    <row r="142" spans="7:15" x14ac:dyDescent="0.25">
      <c r="G142" s="392">
        <v>90</v>
      </c>
      <c r="H142" s="437"/>
      <c r="I142" s="437"/>
      <c r="J142" s="398"/>
      <c r="K142" s="398"/>
      <c r="L142" s="398"/>
      <c r="M142" s="398"/>
      <c r="N142" s="398"/>
      <c r="O142" s="398"/>
    </row>
    <row r="143" spans="7:15" x14ac:dyDescent="0.25">
      <c r="G143" s="392">
        <v>91</v>
      </c>
      <c r="H143" s="437"/>
      <c r="I143" s="437"/>
      <c r="J143" s="398"/>
      <c r="K143" s="398"/>
      <c r="L143" s="398"/>
      <c r="M143" s="398"/>
      <c r="N143" s="398"/>
      <c r="O143" s="398"/>
    </row>
    <row r="144" spans="7:15" x14ac:dyDescent="0.25">
      <c r="G144" s="392">
        <v>92</v>
      </c>
      <c r="H144" s="437"/>
      <c r="I144" s="437"/>
      <c r="J144" s="398"/>
      <c r="K144" s="398"/>
      <c r="L144" s="398"/>
      <c r="M144" s="398"/>
      <c r="N144" s="398"/>
      <c r="O144" s="398"/>
    </row>
    <row r="145" spans="7:15" x14ac:dyDescent="0.25">
      <c r="G145" s="392">
        <v>93</v>
      </c>
      <c r="H145" s="437"/>
      <c r="I145" s="437"/>
      <c r="J145" s="398"/>
      <c r="K145" s="398"/>
      <c r="L145" s="398"/>
      <c r="M145" s="398"/>
      <c r="N145" s="398"/>
      <c r="O145" s="398"/>
    </row>
    <row r="146" spans="7:15" x14ac:dyDescent="0.25">
      <c r="G146" s="392">
        <v>94</v>
      </c>
      <c r="H146" s="437"/>
      <c r="I146" s="437"/>
      <c r="J146" s="398"/>
      <c r="K146" s="398"/>
      <c r="L146" s="398"/>
      <c r="M146" s="398"/>
      <c r="N146" s="398"/>
      <c r="O146" s="398"/>
    </row>
    <row r="147" spans="7:15" x14ac:dyDescent="0.25">
      <c r="G147" s="392">
        <v>95</v>
      </c>
      <c r="H147" s="437"/>
      <c r="I147" s="437"/>
      <c r="J147" s="398"/>
      <c r="K147" s="398"/>
      <c r="L147" s="398"/>
      <c r="M147" s="398"/>
      <c r="N147" s="398"/>
      <c r="O147" s="398"/>
    </row>
    <row r="148" spans="7:15" x14ac:dyDescent="0.25">
      <c r="G148" s="392">
        <v>96</v>
      </c>
      <c r="H148" s="437"/>
      <c r="I148" s="437"/>
      <c r="J148" s="398"/>
      <c r="K148" s="398"/>
      <c r="L148" s="398"/>
      <c r="M148" s="398"/>
      <c r="N148" s="398"/>
      <c r="O148" s="398"/>
    </row>
    <row r="149" spans="7:15" x14ac:dyDescent="0.25">
      <c r="G149" s="392">
        <v>97</v>
      </c>
      <c r="H149" s="437"/>
      <c r="I149" s="437"/>
      <c r="J149" s="398"/>
      <c r="K149" s="398"/>
      <c r="L149" s="398"/>
      <c r="M149" s="398"/>
      <c r="N149" s="398"/>
      <c r="O149" s="398"/>
    </row>
    <row r="150" spans="7:15" x14ac:dyDescent="0.25">
      <c r="G150" s="392">
        <v>98</v>
      </c>
      <c r="H150" s="437"/>
      <c r="I150" s="437"/>
      <c r="J150" s="398"/>
      <c r="K150" s="398"/>
      <c r="L150" s="398"/>
      <c r="M150" s="398"/>
      <c r="N150" s="398"/>
      <c r="O150" s="398"/>
    </row>
    <row r="151" spans="7:15" x14ac:dyDescent="0.25">
      <c r="G151" s="392">
        <v>99</v>
      </c>
      <c r="H151" s="437"/>
      <c r="I151" s="437"/>
      <c r="J151" s="398"/>
      <c r="K151" s="398"/>
      <c r="L151" s="398"/>
      <c r="M151" s="398"/>
      <c r="N151" s="398"/>
      <c r="O151" s="398"/>
    </row>
    <row r="152" spans="7:15" x14ac:dyDescent="0.25">
      <c r="G152" s="392">
        <v>100</v>
      </c>
      <c r="H152" s="437"/>
      <c r="I152" s="437"/>
      <c r="J152" s="398"/>
      <c r="K152" s="398"/>
      <c r="L152" s="398"/>
      <c r="M152" s="398"/>
      <c r="N152" s="398"/>
      <c r="O152" s="398"/>
    </row>
    <row r="153" spans="7:15" x14ac:dyDescent="0.25">
      <c r="G153" s="392">
        <v>101</v>
      </c>
      <c r="H153" s="437"/>
      <c r="I153" s="437"/>
      <c r="J153" s="398"/>
      <c r="K153" s="398"/>
      <c r="L153" s="398"/>
      <c r="M153" s="398"/>
      <c r="N153" s="398"/>
      <c r="O153" s="398"/>
    </row>
    <row r="154" spans="7:15" x14ac:dyDescent="0.25">
      <c r="G154" s="392">
        <v>102</v>
      </c>
      <c r="H154" s="437"/>
      <c r="I154" s="437"/>
      <c r="J154" s="398"/>
      <c r="K154" s="398"/>
      <c r="L154" s="398"/>
      <c r="M154" s="398"/>
      <c r="N154" s="398"/>
      <c r="O154" s="398"/>
    </row>
    <row r="155" spans="7:15" x14ac:dyDescent="0.25">
      <c r="G155" s="392">
        <v>103</v>
      </c>
      <c r="H155" s="437"/>
      <c r="I155" s="437"/>
      <c r="J155" s="398"/>
      <c r="K155" s="398"/>
      <c r="L155" s="398"/>
      <c r="M155" s="398"/>
      <c r="N155" s="398"/>
      <c r="O155" s="398"/>
    </row>
    <row r="156" spans="7:15" x14ac:dyDescent="0.25">
      <c r="G156" s="392">
        <v>104</v>
      </c>
      <c r="H156" s="437"/>
      <c r="I156" s="437"/>
      <c r="J156" s="398"/>
      <c r="K156" s="398"/>
      <c r="L156" s="398"/>
      <c r="M156" s="398"/>
      <c r="N156" s="398"/>
      <c r="O156" s="398"/>
    </row>
    <row r="157" spans="7:15" x14ac:dyDescent="0.25">
      <c r="G157" s="392">
        <v>105</v>
      </c>
      <c r="H157" s="437"/>
      <c r="I157" s="437"/>
      <c r="J157" s="398"/>
      <c r="K157" s="398"/>
      <c r="L157" s="398"/>
      <c r="M157" s="398"/>
      <c r="N157" s="398"/>
      <c r="O157" s="398"/>
    </row>
    <row r="158" spans="7:15" x14ac:dyDescent="0.25">
      <c r="G158" s="392">
        <v>106</v>
      </c>
      <c r="H158" s="437"/>
      <c r="I158" s="437"/>
      <c r="J158" s="398"/>
      <c r="K158" s="398"/>
      <c r="L158" s="398"/>
      <c r="M158" s="398"/>
      <c r="N158" s="398"/>
      <c r="O158" s="398"/>
    </row>
    <row r="159" spans="7:15" x14ac:dyDescent="0.25">
      <c r="G159" s="392">
        <v>107</v>
      </c>
      <c r="H159" s="437"/>
      <c r="I159" s="437"/>
      <c r="J159" s="398"/>
      <c r="K159" s="398"/>
      <c r="L159" s="398"/>
      <c r="M159" s="398"/>
      <c r="N159" s="398"/>
      <c r="O159" s="398"/>
    </row>
    <row r="160" spans="7:15" x14ac:dyDescent="0.25">
      <c r="G160" s="392">
        <v>108</v>
      </c>
      <c r="H160" s="437"/>
      <c r="I160" s="437"/>
      <c r="J160" s="398"/>
      <c r="K160" s="398"/>
      <c r="L160" s="398"/>
      <c r="M160" s="398"/>
      <c r="N160" s="398"/>
      <c r="O160" s="398"/>
    </row>
    <row r="161" spans="7:15" x14ac:dyDescent="0.25">
      <c r="G161" s="392">
        <v>109</v>
      </c>
      <c r="H161" s="437"/>
      <c r="I161" s="437"/>
      <c r="J161" s="398"/>
      <c r="K161" s="398"/>
      <c r="L161" s="398"/>
      <c r="M161" s="398"/>
      <c r="N161" s="398"/>
      <c r="O161" s="398"/>
    </row>
    <row r="162" spans="7:15" x14ac:dyDescent="0.25">
      <c r="G162" s="392">
        <v>110</v>
      </c>
      <c r="H162" s="437"/>
      <c r="I162" s="437"/>
      <c r="J162" s="398"/>
      <c r="K162" s="398"/>
      <c r="L162" s="398"/>
      <c r="M162" s="398"/>
      <c r="N162" s="398"/>
      <c r="O162" s="398"/>
    </row>
    <row r="163" spans="7:15" x14ac:dyDescent="0.25">
      <c r="G163" s="392">
        <v>111</v>
      </c>
      <c r="H163" s="437"/>
      <c r="I163" s="437"/>
      <c r="J163" s="398"/>
      <c r="K163" s="398"/>
      <c r="L163" s="398"/>
      <c r="M163" s="398"/>
      <c r="N163" s="398"/>
      <c r="O163" s="398"/>
    </row>
    <row r="164" spans="7:15" x14ac:dyDescent="0.25">
      <c r="G164" s="392">
        <v>112</v>
      </c>
      <c r="H164" s="437"/>
      <c r="I164" s="437"/>
      <c r="J164" s="398"/>
      <c r="K164" s="398"/>
      <c r="L164" s="398"/>
      <c r="M164" s="398"/>
      <c r="N164" s="398"/>
      <c r="O164" s="398"/>
    </row>
    <row r="165" spans="7:15" x14ac:dyDescent="0.25">
      <c r="G165" s="392">
        <v>113</v>
      </c>
      <c r="H165" s="437"/>
      <c r="I165" s="437"/>
      <c r="J165" s="398"/>
      <c r="K165" s="398"/>
      <c r="L165" s="398"/>
      <c r="M165" s="398"/>
      <c r="N165" s="398"/>
      <c r="O165" s="398"/>
    </row>
    <row r="166" spans="7:15" x14ac:dyDescent="0.25">
      <c r="G166" s="392">
        <v>114</v>
      </c>
      <c r="H166" s="437"/>
      <c r="I166" s="437"/>
      <c r="J166" s="398"/>
      <c r="K166" s="398"/>
      <c r="L166" s="398"/>
      <c r="M166" s="398"/>
      <c r="N166" s="398"/>
      <c r="O166" s="398"/>
    </row>
    <row r="167" spans="7:15" x14ac:dyDescent="0.25">
      <c r="G167" s="392">
        <v>115</v>
      </c>
      <c r="H167" s="437"/>
      <c r="I167" s="437"/>
      <c r="J167" s="398"/>
      <c r="K167" s="398"/>
      <c r="L167" s="398"/>
      <c r="M167" s="398"/>
      <c r="N167" s="398"/>
      <c r="O167" s="398"/>
    </row>
    <row r="168" spans="7:15" x14ac:dyDescent="0.25">
      <c r="G168" s="392">
        <v>116</v>
      </c>
      <c r="H168" s="437"/>
      <c r="I168" s="437"/>
      <c r="J168" s="398"/>
      <c r="K168" s="398"/>
      <c r="L168" s="398"/>
      <c r="M168" s="398"/>
      <c r="N168" s="398"/>
      <c r="O168" s="398"/>
    </row>
    <row r="169" spans="7:15" x14ac:dyDescent="0.25">
      <c r="G169" s="392">
        <v>117</v>
      </c>
      <c r="H169" s="437"/>
      <c r="I169" s="437"/>
      <c r="J169" s="398"/>
      <c r="K169" s="398"/>
      <c r="L169" s="398"/>
      <c r="M169" s="398"/>
      <c r="N169" s="398"/>
      <c r="O169" s="398"/>
    </row>
    <row r="170" spans="7:15" x14ac:dyDescent="0.25">
      <c r="G170" s="392">
        <v>118</v>
      </c>
      <c r="H170" s="437"/>
      <c r="I170" s="437"/>
      <c r="J170" s="398"/>
      <c r="K170" s="398"/>
      <c r="L170" s="398"/>
      <c r="M170" s="398"/>
      <c r="N170" s="398"/>
      <c r="O170" s="398"/>
    </row>
    <row r="171" spans="7:15" x14ac:dyDescent="0.25">
      <c r="G171" s="392">
        <v>119</v>
      </c>
      <c r="H171" s="437"/>
      <c r="I171" s="437"/>
      <c r="J171" s="398"/>
      <c r="K171" s="398"/>
      <c r="L171" s="398"/>
      <c r="M171" s="398"/>
      <c r="N171" s="398"/>
      <c r="O171" s="398"/>
    </row>
    <row r="172" spans="7:15" x14ac:dyDescent="0.25">
      <c r="G172" s="392">
        <v>120</v>
      </c>
      <c r="H172" s="437"/>
      <c r="I172" s="437"/>
      <c r="J172" s="398"/>
      <c r="K172" s="398"/>
      <c r="L172" s="398"/>
      <c r="M172" s="398"/>
      <c r="N172" s="398"/>
      <c r="O172" s="398"/>
    </row>
    <row r="173" spans="7:15" x14ac:dyDescent="0.25">
      <c r="G173" s="392">
        <v>121</v>
      </c>
      <c r="H173" s="437"/>
      <c r="I173" s="437"/>
      <c r="J173" s="398"/>
      <c r="K173" s="398"/>
      <c r="L173" s="398"/>
      <c r="M173" s="398"/>
      <c r="N173" s="398"/>
      <c r="O173" s="398"/>
    </row>
    <row r="174" spans="7:15" x14ac:dyDescent="0.25">
      <c r="G174" s="392">
        <v>122</v>
      </c>
      <c r="H174" s="437"/>
      <c r="I174" s="437"/>
      <c r="J174" s="398"/>
      <c r="K174" s="398"/>
      <c r="L174" s="398"/>
      <c r="M174" s="398"/>
      <c r="N174" s="398"/>
      <c r="O174" s="398"/>
    </row>
    <row r="175" spans="7:15" x14ac:dyDescent="0.25">
      <c r="G175" s="392">
        <v>123</v>
      </c>
      <c r="H175" s="437"/>
      <c r="I175" s="437"/>
      <c r="J175" s="398"/>
      <c r="K175" s="398"/>
      <c r="L175" s="398"/>
      <c r="M175" s="398"/>
      <c r="N175" s="398"/>
      <c r="O175" s="398"/>
    </row>
    <row r="176" spans="7:15" x14ac:dyDescent="0.25">
      <c r="G176" s="392">
        <v>124</v>
      </c>
      <c r="H176" s="437"/>
      <c r="I176" s="437"/>
      <c r="J176" s="398"/>
      <c r="K176" s="398"/>
      <c r="L176" s="398"/>
      <c r="M176" s="398"/>
      <c r="N176" s="398"/>
      <c r="O176" s="398"/>
    </row>
    <row r="177" spans="7:15" x14ac:dyDescent="0.25">
      <c r="G177" s="392">
        <v>125</v>
      </c>
      <c r="H177" s="437"/>
      <c r="I177" s="437"/>
      <c r="J177" s="398"/>
      <c r="K177" s="398"/>
      <c r="L177" s="398"/>
      <c r="M177" s="398"/>
      <c r="N177" s="398"/>
      <c r="O177" s="398"/>
    </row>
    <row r="178" spans="7:15" x14ac:dyDescent="0.25">
      <c r="G178" s="392">
        <v>126</v>
      </c>
      <c r="H178" s="437"/>
      <c r="I178" s="437"/>
      <c r="J178" s="398"/>
      <c r="K178" s="398"/>
      <c r="L178" s="398"/>
      <c r="M178" s="398"/>
      <c r="N178" s="398"/>
      <c r="O178" s="398"/>
    </row>
    <row r="179" spans="7:15" x14ac:dyDescent="0.25">
      <c r="G179" s="392">
        <v>127</v>
      </c>
      <c r="H179" s="437"/>
      <c r="I179" s="437"/>
      <c r="J179" s="398"/>
      <c r="K179" s="398"/>
      <c r="L179" s="398"/>
      <c r="M179" s="398"/>
      <c r="N179" s="398"/>
      <c r="O179" s="398"/>
    </row>
    <row r="180" spans="7:15" x14ac:dyDescent="0.25">
      <c r="G180" s="392">
        <v>128</v>
      </c>
      <c r="H180" s="437"/>
      <c r="I180" s="437"/>
      <c r="J180" s="398"/>
      <c r="K180" s="398"/>
      <c r="L180" s="398"/>
      <c r="M180" s="398"/>
      <c r="N180" s="398"/>
      <c r="O180" s="398"/>
    </row>
    <row r="181" spans="7:15" x14ac:dyDescent="0.25">
      <c r="G181" s="392">
        <v>129</v>
      </c>
      <c r="H181" s="437"/>
      <c r="I181" s="437"/>
      <c r="J181" s="398"/>
      <c r="K181" s="398"/>
      <c r="L181" s="398"/>
      <c r="M181" s="398"/>
      <c r="N181" s="398"/>
      <c r="O181" s="398"/>
    </row>
    <row r="182" spans="7:15" x14ac:dyDescent="0.25">
      <c r="G182" s="392">
        <v>130</v>
      </c>
      <c r="H182" s="437"/>
      <c r="I182" s="437"/>
      <c r="J182" s="398"/>
      <c r="K182" s="398"/>
      <c r="L182" s="398"/>
      <c r="M182" s="398"/>
      <c r="N182" s="398"/>
      <c r="O182" s="398"/>
    </row>
    <row r="183" spans="7:15" x14ac:dyDescent="0.25">
      <c r="G183" s="392">
        <v>131</v>
      </c>
      <c r="H183" s="437"/>
      <c r="I183" s="437"/>
      <c r="J183" s="398"/>
      <c r="K183" s="398"/>
      <c r="L183" s="398"/>
      <c r="M183" s="398"/>
      <c r="N183" s="398"/>
      <c r="O183" s="398"/>
    </row>
    <row r="184" spans="7:15" x14ac:dyDescent="0.25">
      <c r="G184" s="392">
        <v>132</v>
      </c>
      <c r="H184" s="437"/>
      <c r="I184" s="437"/>
      <c r="J184" s="398"/>
      <c r="K184" s="398"/>
      <c r="L184" s="398"/>
      <c r="M184" s="398"/>
      <c r="N184" s="398"/>
      <c r="O184" s="398"/>
    </row>
    <row r="185" spans="7:15" x14ac:dyDescent="0.25">
      <c r="G185" s="392">
        <v>133</v>
      </c>
      <c r="H185" s="437"/>
      <c r="I185" s="437"/>
      <c r="J185" s="398"/>
      <c r="K185" s="398"/>
      <c r="L185" s="398"/>
      <c r="M185" s="398"/>
      <c r="N185" s="398"/>
      <c r="O185" s="398"/>
    </row>
    <row r="186" spans="7:15" x14ac:dyDescent="0.25">
      <c r="G186" s="392">
        <v>134</v>
      </c>
      <c r="H186" s="437"/>
      <c r="I186" s="437"/>
      <c r="J186" s="398"/>
      <c r="K186" s="398"/>
      <c r="L186" s="398"/>
      <c r="M186" s="398"/>
      <c r="N186" s="398"/>
      <c r="O186" s="398"/>
    </row>
    <row r="187" spans="7:15" x14ac:dyDescent="0.25">
      <c r="G187" s="392">
        <v>135</v>
      </c>
      <c r="H187" s="437"/>
      <c r="I187" s="437"/>
      <c r="J187" s="398"/>
      <c r="K187" s="398"/>
      <c r="L187" s="398"/>
      <c r="M187" s="398"/>
      <c r="N187" s="398"/>
      <c r="O187" s="398"/>
    </row>
    <row r="188" spans="7:15" x14ac:dyDescent="0.25">
      <c r="G188" s="392">
        <v>136</v>
      </c>
      <c r="H188" s="437"/>
      <c r="I188" s="437"/>
      <c r="J188" s="398"/>
      <c r="K188" s="398"/>
      <c r="L188" s="398"/>
      <c r="M188" s="398"/>
      <c r="N188" s="398"/>
      <c r="O188" s="398"/>
    </row>
    <row r="189" spans="7:15" x14ac:dyDescent="0.25">
      <c r="G189" s="392">
        <v>137</v>
      </c>
      <c r="H189" s="437"/>
      <c r="I189" s="437"/>
      <c r="J189" s="398"/>
      <c r="K189" s="398"/>
      <c r="L189" s="398"/>
      <c r="M189" s="398"/>
      <c r="N189" s="398"/>
      <c r="O189" s="398"/>
    </row>
    <row r="190" spans="7:15" x14ac:dyDescent="0.25">
      <c r="G190" s="392">
        <v>138</v>
      </c>
      <c r="H190" s="437"/>
      <c r="I190" s="437"/>
      <c r="J190" s="398"/>
      <c r="K190" s="398"/>
      <c r="L190" s="398"/>
      <c r="M190" s="398"/>
      <c r="N190" s="398"/>
      <c r="O190" s="398"/>
    </row>
    <row r="191" spans="7:15" x14ac:dyDescent="0.25">
      <c r="G191" s="392">
        <v>139</v>
      </c>
      <c r="H191" s="437"/>
      <c r="I191" s="437"/>
      <c r="J191" s="398"/>
      <c r="K191" s="398"/>
      <c r="L191" s="398"/>
      <c r="M191" s="398"/>
      <c r="N191" s="398"/>
      <c r="O191" s="398"/>
    </row>
    <row r="192" spans="7:15" x14ac:dyDescent="0.25">
      <c r="G192" s="392">
        <v>140</v>
      </c>
      <c r="H192" s="437"/>
      <c r="I192" s="437"/>
      <c r="J192" s="398"/>
      <c r="K192" s="398"/>
      <c r="L192" s="398"/>
      <c r="M192" s="398"/>
      <c r="N192" s="398"/>
      <c r="O192" s="398"/>
    </row>
    <row r="193" spans="7:15" x14ac:dyDescent="0.25">
      <c r="G193" s="392">
        <v>141</v>
      </c>
      <c r="H193" s="437"/>
      <c r="I193" s="437"/>
      <c r="J193" s="398"/>
      <c r="K193" s="398"/>
      <c r="L193" s="398"/>
      <c r="M193" s="398"/>
      <c r="N193" s="398"/>
      <c r="O193" s="398"/>
    </row>
    <row r="194" spans="7:15" x14ac:dyDescent="0.25">
      <c r="G194" s="392">
        <v>142</v>
      </c>
      <c r="H194" s="437"/>
      <c r="I194" s="437"/>
      <c r="J194" s="398"/>
      <c r="K194" s="398"/>
      <c r="L194" s="398"/>
      <c r="M194" s="398"/>
      <c r="N194" s="398"/>
      <c r="O194" s="398"/>
    </row>
    <row r="195" spans="7:15" x14ac:dyDescent="0.25">
      <c r="G195" s="392">
        <v>143</v>
      </c>
      <c r="H195" s="437"/>
      <c r="I195" s="437"/>
      <c r="J195" s="398"/>
      <c r="K195" s="398"/>
      <c r="L195" s="398"/>
      <c r="M195" s="398"/>
      <c r="N195" s="398"/>
      <c r="O195" s="398"/>
    </row>
    <row r="196" spans="7:15" x14ac:dyDescent="0.25">
      <c r="G196" s="392">
        <v>144</v>
      </c>
      <c r="H196" s="437"/>
      <c r="I196" s="437"/>
      <c r="J196" s="398"/>
      <c r="K196" s="398"/>
      <c r="L196" s="398"/>
      <c r="M196" s="398"/>
      <c r="N196" s="398"/>
      <c r="O196" s="398"/>
    </row>
    <row r="197" spans="7:15" x14ac:dyDescent="0.25">
      <c r="G197" s="392">
        <v>145</v>
      </c>
      <c r="H197" s="437"/>
      <c r="I197" s="437"/>
      <c r="J197" s="398"/>
      <c r="K197" s="398"/>
      <c r="L197" s="398"/>
      <c r="M197" s="398"/>
      <c r="N197" s="398"/>
      <c r="O197" s="398"/>
    </row>
    <row r="198" spans="7:15" x14ac:dyDescent="0.25">
      <c r="G198" s="392">
        <v>146</v>
      </c>
      <c r="H198" s="437"/>
      <c r="I198" s="437"/>
      <c r="J198" s="398"/>
      <c r="K198" s="398"/>
      <c r="L198" s="398"/>
      <c r="M198" s="398"/>
      <c r="N198" s="398"/>
      <c r="O198" s="398"/>
    </row>
    <row r="199" spans="7:15" x14ac:dyDescent="0.25">
      <c r="G199" s="392">
        <v>147</v>
      </c>
      <c r="H199" s="437"/>
      <c r="I199" s="437"/>
      <c r="J199" s="398"/>
      <c r="K199" s="398"/>
      <c r="L199" s="398"/>
      <c r="M199" s="398"/>
      <c r="N199" s="398"/>
      <c r="O199" s="398"/>
    </row>
    <row r="200" spans="7:15" x14ac:dyDescent="0.25">
      <c r="G200" s="392">
        <v>148</v>
      </c>
      <c r="H200" s="437"/>
      <c r="I200" s="437"/>
      <c r="J200" s="398"/>
      <c r="K200" s="398"/>
      <c r="L200" s="398"/>
      <c r="M200" s="398"/>
      <c r="N200" s="398"/>
      <c r="O200" s="398"/>
    </row>
    <row r="201" spans="7:15" x14ac:dyDescent="0.25">
      <c r="G201" s="392">
        <v>149</v>
      </c>
      <c r="H201" s="437"/>
      <c r="I201" s="437"/>
      <c r="J201" s="398"/>
      <c r="K201" s="398"/>
      <c r="L201" s="398"/>
      <c r="M201" s="398"/>
      <c r="N201" s="398"/>
      <c r="O201" s="398"/>
    </row>
    <row r="202" spans="7:15" x14ac:dyDescent="0.25">
      <c r="G202" s="392">
        <v>150</v>
      </c>
      <c r="H202" s="437"/>
      <c r="I202" s="437"/>
      <c r="J202" s="398"/>
      <c r="K202" s="398"/>
      <c r="L202" s="398"/>
      <c r="M202" s="398"/>
      <c r="N202" s="398"/>
      <c r="O202" s="398"/>
    </row>
    <row r="203" spans="7:15" x14ac:dyDescent="0.25">
      <c r="G203" s="392">
        <v>151</v>
      </c>
      <c r="H203" s="437"/>
      <c r="I203" s="437"/>
      <c r="J203" s="398"/>
      <c r="K203" s="398"/>
      <c r="L203" s="398"/>
      <c r="M203" s="398"/>
      <c r="N203" s="398"/>
      <c r="O203" s="398"/>
    </row>
    <row r="204" spans="7:15" x14ac:dyDescent="0.25">
      <c r="G204" s="392">
        <v>152</v>
      </c>
      <c r="H204" s="437"/>
      <c r="I204" s="437"/>
      <c r="J204" s="398"/>
      <c r="K204" s="398"/>
      <c r="L204" s="398"/>
      <c r="M204" s="398"/>
      <c r="N204" s="398"/>
      <c r="O204" s="398"/>
    </row>
    <row r="205" spans="7:15" x14ac:dyDescent="0.25">
      <c r="G205" s="392">
        <v>153</v>
      </c>
      <c r="H205" s="437"/>
      <c r="I205" s="437"/>
      <c r="J205" s="398"/>
      <c r="K205" s="398"/>
      <c r="L205" s="398"/>
      <c r="M205" s="398"/>
      <c r="N205" s="398"/>
      <c r="O205" s="398"/>
    </row>
    <row r="206" spans="7:15" x14ac:dyDescent="0.25">
      <c r="G206" s="392">
        <v>154</v>
      </c>
      <c r="H206" s="437"/>
      <c r="I206" s="437"/>
      <c r="J206" s="398"/>
      <c r="K206" s="398"/>
      <c r="L206" s="398"/>
      <c r="M206" s="398"/>
      <c r="N206" s="398"/>
      <c r="O206" s="398"/>
    </row>
    <row r="207" spans="7:15" x14ac:dyDescent="0.25">
      <c r="G207" s="392">
        <v>155</v>
      </c>
      <c r="H207" s="437"/>
      <c r="I207" s="437"/>
      <c r="J207" s="398"/>
      <c r="K207" s="398"/>
      <c r="L207" s="398"/>
      <c r="M207" s="398"/>
      <c r="N207" s="398"/>
      <c r="O207" s="398"/>
    </row>
    <row r="208" spans="7:15" x14ac:dyDescent="0.25">
      <c r="G208" s="392">
        <v>156</v>
      </c>
      <c r="H208" s="437"/>
      <c r="I208" s="437"/>
      <c r="J208" s="398"/>
      <c r="K208" s="398"/>
      <c r="L208" s="398"/>
      <c r="M208" s="398"/>
      <c r="N208" s="398"/>
      <c r="O208" s="398"/>
    </row>
    <row r="209" spans="7:15" x14ac:dyDescent="0.25">
      <c r="G209" s="392">
        <v>157</v>
      </c>
      <c r="H209" s="437"/>
      <c r="I209" s="437"/>
      <c r="J209" s="398"/>
      <c r="K209" s="398"/>
      <c r="L209" s="398"/>
      <c r="M209" s="398"/>
      <c r="N209" s="398"/>
      <c r="O209" s="398"/>
    </row>
    <row r="210" spans="7:15" x14ac:dyDescent="0.25">
      <c r="G210" s="392">
        <v>158</v>
      </c>
      <c r="H210" s="437"/>
      <c r="I210" s="437"/>
      <c r="J210" s="398"/>
      <c r="K210" s="398"/>
      <c r="L210" s="398"/>
      <c r="M210" s="398"/>
      <c r="N210" s="398"/>
      <c r="O210" s="398"/>
    </row>
    <row r="211" spans="7:15" x14ac:dyDescent="0.25">
      <c r="G211" s="392">
        <v>159</v>
      </c>
      <c r="H211" s="437"/>
      <c r="I211" s="437"/>
      <c r="J211" s="398"/>
      <c r="K211" s="398"/>
      <c r="L211" s="398"/>
      <c r="M211" s="398"/>
      <c r="N211" s="398"/>
      <c r="O211" s="398"/>
    </row>
    <row r="212" spans="7:15" x14ac:dyDescent="0.25">
      <c r="G212" s="392">
        <v>160</v>
      </c>
      <c r="H212" s="437"/>
      <c r="I212" s="437"/>
      <c r="J212" s="398"/>
      <c r="K212" s="398"/>
      <c r="L212" s="398"/>
      <c r="M212" s="398"/>
      <c r="N212" s="398"/>
      <c r="O212" s="398"/>
    </row>
    <row r="213" spans="7:15" x14ac:dyDescent="0.25">
      <c r="G213" s="392">
        <v>161</v>
      </c>
      <c r="H213" s="437"/>
      <c r="I213" s="437"/>
      <c r="J213" s="398"/>
      <c r="K213" s="398"/>
      <c r="L213" s="398"/>
      <c r="M213" s="398"/>
      <c r="N213" s="398"/>
      <c r="O213" s="398"/>
    </row>
    <row r="214" spans="7:15" x14ac:dyDescent="0.25">
      <c r="G214" s="392">
        <v>162</v>
      </c>
      <c r="H214" s="437"/>
      <c r="I214" s="437"/>
      <c r="J214" s="398"/>
      <c r="K214" s="398"/>
      <c r="L214" s="398"/>
      <c r="M214" s="398"/>
      <c r="N214" s="398"/>
      <c r="O214" s="398"/>
    </row>
    <row r="215" spans="7:15" x14ac:dyDescent="0.25">
      <c r="G215" s="392">
        <v>163</v>
      </c>
      <c r="H215" s="437"/>
      <c r="I215" s="437"/>
      <c r="J215" s="398"/>
      <c r="K215" s="398"/>
      <c r="L215" s="398"/>
      <c r="M215" s="398"/>
      <c r="N215" s="398"/>
      <c r="O215" s="398"/>
    </row>
    <row r="216" spans="7:15" x14ac:dyDescent="0.25">
      <c r="G216" s="392">
        <v>164</v>
      </c>
      <c r="H216" s="437"/>
      <c r="I216" s="437"/>
      <c r="J216" s="398"/>
      <c r="K216" s="398"/>
      <c r="L216" s="398"/>
      <c r="M216" s="398"/>
      <c r="N216" s="398"/>
      <c r="O216" s="398"/>
    </row>
    <row r="217" spans="7:15" x14ac:dyDescent="0.25">
      <c r="G217" s="392">
        <v>165</v>
      </c>
      <c r="H217" s="437"/>
      <c r="I217" s="437"/>
      <c r="J217" s="398"/>
      <c r="K217" s="398"/>
      <c r="L217" s="398"/>
      <c r="M217" s="398"/>
      <c r="N217" s="398"/>
      <c r="O217" s="398"/>
    </row>
    <row r="218" spans="7:15" x14ac:dyDescent="0.25">
      <c r="G218" s="392">
        <v>166</v>
      </c>
      <c r="H218" s="437"/>
      <c r="I218" s="437"/>
      <c r="J218" s="398"/>
      <c r="K218" s="398"/>
      <c r="L218" s="398"/>
      <c r="M218" s="398"/>
      <c r="N218" s="398"/>
      <c r="O218" s="398"/>
    </row>
    <row r="219" spans="7:15" x14ac:dyDescent="0.25">
      <c r="G219" s="392">
        <v>167</v>
      </c>
      <c r="H219" s="437"/>
      <c r="I219" s="437"/>
      <c r="J219" s="398"/>
      <c r="K219" s="398"/>
      <c r="L219" s="398"/>
      <c r="M219" s="398"/>
      <c r="N219" s="398"/>
      <c r="O219" s="398"/>
    </row>
    <row r="220" spans="7:15" x14ac:dyDescent="0.25">
      <c r="G220" s="392">
        <v>168</v>
      </c>
      <c r="H220" s="437"/>
      <c r="I220" s="437"/>
      <c r="J220" s="398"/>
      <c r="K220" s="398"/>
      <c r="L220" s="398"/>
      <c r="M220" s="398"/>
      <c r="N220" s="398"/>
      <c r="O220" s="398"/>
    </row>
    <row r="221" spans="7:15" x14ac:dyDescent="0.25">
      <c r="G221" s="392">
        <v>169</v>
      </c>
      <c r="H221" s="437"/>
      <c r="I221" s="437"/>
      <c r="J221" s="398"/>
      <c r="K221" s="398"/>
      <c r="L221" s="398"/>
      <c r="M221" s="398"/>
      <c r="N221" s="398"/>
      <c r="O221" s="398"/>
    </row>
    <row r="222" spans="7:15" x14ac:dyDescent="0.25">
      <c r="G222" s="392">
        <v>170</v>
      </c>
      <c r="H222" s="437"/>
      <c r="I222" s="437"/>
      <c r="J222" s="398"/>
      <c r="K222" s="398"/>
      <c r="L222" s="398"/>
      <c r="M222" s="398"/>
      <c r="N222" s="398"/>
      <c r="O222" s="398"/>
    </row>
    <row r="223" spans="7:15" x14ac:dyDescent="0.25">
      <c r="G223" s="392">
        <v>171</v>
      </c>
      <c r="H223" s="437"/>
      <c r="I223" s="437"/>
      <c r="J223" s="398"/>
      <c r="K223" s="398"/>
      <c r="L223" s="398"/>
      <c r="M223" s="398"/>
      <c r="N223" s="398"/>
      <c r="O223" s="398"/>
    </row>
    <row r="224" spans="7:15" x14ac:dyDescent="0.25">
      <c r="G224" s="392">
        <v>172</v>
      </c>
      <c r="H224" s="437"/>
      <c r="I224" s="437"/>
      <c r="J224" s="398"/>
      <c r="K224" s="398"/>
      <c r="L224" s="398"/>
      <c r="M224" s="398"/>
      <c r="N224" s="398"/>
      <c r="O224" s="398"/>
    </row>
    <row r="225" spans="7:15" x14ac:dyDescent="0.25">
      <c r="G225" s="392">
        <v>173</v>
      </c>
      <c r="H225" s="437"/>
      <c r="I225" s="437"/>
      <c r="J225" s="398"/>
      <c r="K225" s="398"/>
      <c r="L225" s="398"/>
      <c r="M225" s="398"/>
      <c r="N225" s="398"/>
      <c r="O225" s="398"/>
    </row>
    <row r="226" spans="7:15" x14ac:dyDescent="0.25">
      <c r="G226" s="392">
        <v>174</v>
      </c>
      <c r="H226" s="437"/>
      <c r="I226" s="437"/>
      <c r="J226" s="398"/>
      <c r="K226" s="398"/>
      <c r="L226" s="398"/>
      <c r="M226" s="398"/>
      <c r="N226" s="398"/>
      <c r="O226" s="398"/>
    </row>
    <row r="227" spans="7:15" x14ac:dyDescent="0.25">
      <c r="G227" s="392">
        <v>175</v>
      </c>
      <c r="H227" s="437"/>
      <c r="I227" s="437"/>
      <c r="J227" s="398"/>
      <c r="K227" s="398"/>
      <c r="L227" s="398"/>
      <c r="M227" s="398"/>
      <c r="N227" s="398"/>
      <c r="O227" s="398"/>
    </row>
    <row r="228" spans="7:15" x14ac:dyDescent="0.25">
      <c r="G228" s="392">
        <v>176</v>
      </c>
      <c r="H228" s="437"/>
      <c r="I228" s="437"/>
      <c r="J228" s="398"/>
      <c r="K228" s="398"/>
      <c r="L228" s="398"/>
      <c r="M228" s="398"/>
      <c r="N228" s="398"/>
      <c r="O228" s="398"/>
    </row>
    <row r="229" spans="7:15" x14ac:dyDescent="0.25">
      <c r="G229" s="392">
        <v>177</v>
      </c>
      <c r="H229" s="437"/>
      <c r="I229" s="437"/>
      <c r="J229" s="398"/>
      <c r="K229" s="398"/>
      <c r="L229" s="398"/>
      <c r="M229" s="398"/>
      <c r="N229" s="398"/>
      <c r="O229" s="398"/>
    </row>
    <row r="230" spans="7:15" x14ac:dyDescent="0.25">
      <c r="G230" s="392">
        <v>178</v>
      </c>
      <c r="H230" s="437"/>
      <c r="I230" s="437"/>
      <c r="J230" s="398"/>
      <c r="K230" s="398"/>
      <c r="L230" s="398"/>
      <c r="M230" s="398"/>
      <c r="N230" s="398"/>
      <c r="O230" s="398"/>
    </row>
    <row r="231" spans="7:15" x14ac:dyDescent="0.25">
      <c r="G231" s="392">
        <v>179</v>
      </c>
      <c r="H231" s="437"/>
      <c r="I231" s="437"/>
      <c r="J231" s="398"/>
      <c r="K231" s="398"/>
      <c r="L231" s="398"/>
      <c r="M231" s="398"/>
      <c r="N231" s="398"/>
      <c r="O231" s="398"/>
    </row>
    <row r="232" spans="7:15" x14ac:dyDescent="0.25">
      <c r="G232" s="392">
        <v>180</v>
      </c>
      <c r="H232" s="437"/>
      <c r="I232" s="437"/>
      <c r="J232" s="398"/>
      <c r="K232" s="398"/>
      <c r="L232" s="398"/>
      <c r="M232" s="398"/>
      <c r="N232" s="398"/>
      <c r="O232" s="398"/>
    </row>
    <row r="233" spans="7:15" x14ac:dyDescent="0.25">
      <c r="G233" s="392">
        <v>181</v>
      </c>
      <c r="H233" s="437"/>
      <c r="I233" s="437"/>
      <c r="J233" s="398"/>
      <c r="K233" s="398"/>
      <c r="L233" s="398"/>
      <c r="M233" s="398"/>
      <c r="N233" s="398"/>
      <c r="O233" s="398"/>
    </row>
    <row r="234" spans="7:15" x14ac:dyDescent="0.25">
      <c r="G234" s="392">
        <v>182</v>
      </c>
      <c r="H234" s="437"/>
      <c r="I234" s="437"/>
      <c r="J234" s="398"/>
      <c r="K234" s="398"/>
      <c r="L234" s="398"/>
      <c r="M234" s="398"/>
      <c r="N234" s="398"/>
      <c r="O234" s="398"/>
    </row>
    <row r="235" spans="7:15" x14ac:dyDescent="0.25">
      <c r="G235" s="392">
        <v>183</v>
      </c>
      <c r="H235" s="437"/>
      <c r="I235" s="437"/>
      <c r="J235" s="398"/>
      <c r="K235" s="398"/>
      <c r="L235" s="398"/>
      <c r="M235" s="398"/>
      <c r="N235" s="398"/>
      <c r="O235" s="398"/>
    </row>
    <row r="236" spans="7:15" x14ac:dyDescent="0.25">
      <c r="G236" s="392">
        <v>184</v>
      </c>
      <c r="H236" s="437"/>
      <c r="I236" s="437"/>
      <c r="J236" s="398"/>
      <c r="K236" s="398"/>
      <c r="L236" s="398"/>
      <c r="M236" s="398"/>
      <c r="N236" s="398"/>
      <c r="O236" s="398"/>
    </row>
    <row r="237" spans="7:15" x14ac:dyDescent="0.25">
      <c r="G237" s="392">
        <v>185</v>
      </c>
      <c r="H237" s="437"/>
      <c r="I237" s="437"/>
      <c r="J237" s="398"/>
      <c r="K237" s="398"/>
      <c r="L237" s="398"/>
      <c r="M237" s="398"/>
      <c r="N237" s="398"/>
      <c r="O237" s="398"/>
    </row>
    <row r="238" spans="7:15" x14ac:dyDescent="0.25">
      <c r="G238" s="392">
        <v>186</v>
      </c>
      <c r="H238" s="437"/>
      <c r="I238" s="437"/>
      <c r="J238" s="398"/>
      <c r="K238" s="398"/>
      <c r="L238" s="398"/>
      <c r="M238" s="398"/>
      <c r="N238" s="398"/>
      <c r="O238" s="398"/>
    </row>
    <row r="239" spans="7:15" x14ac:dyDescent="0.25">
      <c r="G239" s="392">
        <v>187</v>
      </c>
      <c r="H239" s="437"/>
      <c r="I239" s="437"/>
      <c r="J239" s="398"/>
      <c r="K239" s="398"/>
      <c r="L239" s="398"/>
      <c r="M239" s="398"/>
      <c r="N239" s="398"/>
      <c r="O239" s="398"/>
    </row>
    <row r="240" spans="7:15" x14ac:dyDescent="0.25">
      <c r="G240" s="392">
        <v>188</v>
      </c>
      <c r="H240" s="437"/>
      <c r="I240" s="437"/>
      <c r="J240" s="398"/>
      <c r="K240" s="398"/>
      <c r="L240" s="398"/>
      <c r="M240" s="398"/>
      <c r="N240" s="398"/>
      <c r="O240" s="398"/>
    </row>
    <row r="241" spans="7:15" x14ac:dyDescent="0.25">
      <c r="G241" s="392">
        <v>189</v>
      </c>
      <c r="H241" s="437"/>
      <c r="I241" s="437"/>
      <c r="J241" s="398"/>
      <c r="K241" s="398"/>
      <c r="L241" s="398"/>
      <c r="M241" s="398"/>
      <c r="N241" s="398"/>
      <c r="O241" s="398"/>
    </row>
    <row r="242" spans="7:15" x14ac:dyDescent="0.25">
      <c r="G242" s="392">
        <v>190</v>
      </c>
      <c r="H242" s="437"/>
      <c r="I242" s="437"/>
      <c r="J242" s="398"/>
      <c r="K242" s="398"/>
      <c r="L242" s="398"/>
      <c r="M242" s="398"/>
      <c r="N242" s="398"/>
      <c r="O242" s="398"/>
    </row>
    <row r="243" spans="7:15" x14ac:dyDescent="0.25">
      <c r="G243" s="392">
        <v>191</v>
      </c>
      <c r="H243" s="437"/>
      <c r="I243" s="437"/>
      <c r="J243" s="398"/>
      <c r="K243" s="398"/>
      <c r="L243" s="398"/>
      <c r="M243" s="398"/>
      <c r="N243" s="398"/>
      <c r="O243" s="398"/>
    </row>
    <row r="244" spans="7:15" x14ac:dyDescent="0.25">
      <c r="G244" s="392">
        <v>192</v>
      </c>
      <c r="H244" s="437"/>
      <c r="I244" s="437"/>
      <c r="J244" s="398"/>
      <c r="K244" s="398"/>
      <c r="L244" s="398"/>
      <c r="M244" s="398"/>
      <c r="N244" s="398"/>
      <c r="O244" s="398"/>
    </row>
    <row r="245" spans="7:15" x14ac:dyDescent="0.25">
      <c r="G245" s="392">
        <v>193</v>
      </c>
      <c r="H245" s="437"/>
      <c r="I245" s="437"/>
      <c r="J245" s="398"/>
      <c r="K245" s="398"/>
      <c r="L245" s="398"/>
      <c r="M245" s="398"/>
      <c r="N245" s="398"/>
      <c r="O245" s="398"/>
    </row>
    <row r="246" spans="7:15" x14ac:dyDescent="0.25">
      <c r="G246" s="392">
        <v>194</v>
      </c>
      <c r="H246" s="437"/>
      <c r="I246" s="437"/>
      <c r="J246" s="398"/>
      <c r="K246" s="398"/>
      <c r="L246" s="398"/>
      <c r="M246" s="398"/>
      <c r="N246" s="398"/>
      <c r="O246" s="398"/>
    </row>
    <row r="247" spans="7:15" x14ac:dyDescent="0.25">
      <c r="G247" s="392">
        <v>195</v>
      </c>
      <c r="H247" s="437"/>
      <c r="I247" s="437"/>
      <c r="J247" s="398"/>
      <c r="K247" s="398"/>
      <c r="L247" s="398"/>
      <c r="M247" s="398"/>
      <c r="N247" s="398"/>
      <c r="O247" s="398"/>
    </row>
    <row r="248" spans="7:15" x14ac:dyDescent="0.25">
      <c r="G248" s="392">
        <v>196</v>
      </c>
      <c r="H248" s="437"/>
      <c r="I248" s="437"/>
      <c r="J248" s="398"/>
      <c r="K248" s="398"/>
      <c r="L248" s="398"/>
      <c r="M248" s="398"/>
      <c r="N248" s="398"/>
      <c r="O248" s="398"/>
    </row>
    <row r="249" spans="7:15" x14ac:dyDescent="0.25">
      <c r="G249" s="392">
        <v>197</v>
      </c>
      <c r="H249" s="437"/>
      <c r="I249" s="437"/>
      <c r="J249" s="398"/>
      <c r="K249" s="398"/>
      <c r="L249" s="398"/>
      <c r="M249" s="398"/>
      <c r="N249" s="398"/>
      <c r="O249" s="398"/>
    </row>
    <row r="250" spans="7:15" x14ac:dyDescent="0.25">
      <c r="G250" s="392">
        <v>198</v>
      </c>
      <c r="H250" s="437"/>
      <c r="I250" s="437"/>
      <c r="J250" s="398"/>
      <c r="K250" s="398"/>
      <c r="L250" s="398"/>
      <c r="M250" s="398"/>
      <c r="N250" s="398"/>
      <c r="O250" s="398"/>
    </row>
    <row r="251" spans="7:15" x14ac:dyDescent="0.25">
      <c r="G251" s="392">
        <v>199</v>
      </c>
      <c r="H251" s="437"/>
      <c r="I251" s="437"/>
      <c r="J251" s="398"/>
      <c r="K251" s="398"/>
      <c r="L251" s="398"/>
      <c r="M251" s="398"/>
      <c r="N251" s="398"/>
      <c r="O251" s="398"/>
    </row>
    <row r="252" spans="7:15" x14ac:dyDescent="0.25">
      <c r="G252" s="392">
        <v>200</v>
      </c>
      <c r="H252" s="437"/>
      <c r="I252" s="437"/>
      <c r="J252" s="398"/>
      <c r="K252" s="398"/>
      <c r="L252" s="398"/>
      <c r="M252" s="398"/>
      <c r="N252" s="398"/>
      <c r="O252" s="398"/>
    </row>
    <row r="253" spans="7:15" x14ac:dyDescent="0.25">
      <c r="G253" s="392">
        <v>201</v>
      </c>
      <c r="H253" s="437"/>
      <c r="I253" s="437"/>
      <c r="J253" s="398"/>
      <c r="K253" s="398"/>
      <c r="L253" s="398"/>
      <c r="M253" s="398"/>
      <c r="N253" s="398"/>
      <c r="O253" s="398"/>
    </row>
    <row r="254" spans="7:15" x14ac:dyDescent="0.25">
      <c r="G254" s="392">
        <v>202</v>
      </c>
      <c r="H254" s="437"/>
      <c r="I254" s="437"/>
      <c r="J254" s="398"/>
      <c r="K254" s="398"/>
      <c r="L254" s="398"/>
      <c r="M254" s="398"/>
      <c r="N254" s="398"/>
      <c r="O254" s="398"/>
    </row>
    <row r="255" spans="7:15" x14ac:dyDescent="0.25">
      <c r="G255" s="392">
        <v>203</v>
      </c>
      <c r="H255" s="437"/>
      <c r="I255" s="437"/>
      <c r="J255" s="398"/>
      <c r="K255" s="398"/>
      <c r="L255" s="398"/>
      <c r="M255" s="398"/>
      <c r="N255" s="398"/>
      <c r="O255" s="398"/>
    </row>
    <row r="256" spans="7:15" x14ac:dyDescent="0.25">
      <c r="G256" s="392">
        <v>204</v>
      </c>
      <c r="H256" s="437"/>
      <c r="I256" s="437"/>
      <c r="J256" s="398"/>
      <c r="K256" s="398"/>
      <c r="L256" s="398"/>
      <c r="M256" s="398"/>
      <c r="N256" s="398"/>
      <c r="O256" s="398"/>
    </row>
    <row r="257" spans="7:15" x14ac:dyDescent="0.25">
      <c r="G257" s="392">
        <v>205</v>
      </c>
      <c r="H257" s="437"/>
      <c r="I257" s="437"/>
      <c r="J257" s="398"/>
      <c r="K257" s="398"/>
      <c r="L257" s="398"/>
      <c r="M257" s="398"/>
      <c r="N257" s="398"/>
      <c r="O257" s="398"/>
    </row>
    <row r="258" spans="7:15" x14ac:dyDescent="0.25">
      <c r="G258" s="392">
        <v>206</v>
      </c>
      <c r="H258" s="437"/>
      <c r="I258" s="437"/>
      <c r="J258" s="398"/>
      <c r="K258" s="398"/>
      <c r="L258" s="398"/>
      <c r="M258" s="398"/>
      <c r="N258" s="398"/>
      <c r="O258" s="398"/>
    </row>
    <row r="259" spans="7:15" x14ac:dyDescent="0.25">
      <c r="G259" s="392">
        <v>207</v>
      </c>
      <c r="H259" s="437"/>
      <c r="I259" s="437"/>
      <c r="J259" s="398"/>
      <c r="K259" s="398"/>
      <c r="L259" s="398"/>
      <c r="M259" s="398"/>
      <c r="N259" s="398"/>
      <c r="O259" s="398"/>
    </row>
    <row r="260" spans="7:15" x14ac:dyDescent="0.25">
      <c r="G260" s="392">
        <v>208</v>
      </c>
      <c r="H260" s="437"/>
      <c r="I260" s="437"/>
      <c r="J260" s="398"/>
      <c r="K260" s="398"/>
      <c r="L260" s="398"/>
      <c r="M260" s="398"/>
      <c r="N260" s="398"/>
      <c r="O260" s="398"/>
    </row>
    <row r="261" spans="7:15" x14ac:dyDescent="0.25">
      <c r="G261" s="392">
        <v>209</v>
      </c>
      <c r="H261" s="437"/>
      <c r="I261" s="437"/>
      <c r="J261" s="398"/>
      <c r="K261" s="398"/>
      <c r="L261" s="398"/>
      <c r="M261" s="398"/>
      <c r="N261" s="398"/>
      <c r="O261" s="398"/>
    </row>
    <row r="262" spans="7:15" x14ac:dyDescent="0.25">
      <c r="G262" s="392">
        <v>210</v>
      </c>
      <c r="H262" s="437"/>
      <c r="I262" s="437"/>
      <c r="J262" s="398"/>
      <c r="K262" s="398"/>
      <c r="L262" s="398"/>
      <c r="M262" s="398"/>
      <c r="N262" s="398"/>
      <c r="O262" s="398"/>
    </row>
    <row r="263" spans="7:15" x14ac:dyDescent="0.25">
      <c r="G263" s="392">
        <v>211</v>
      </c>
      <c r="H263" s="437"/>
      <c r="I263" s="437"/>
      <c r="J263" s="398"/>
      <c r="K263" s="398"/>
      <c r="L263" s="398"/>
      <c r="M263" s="398"/>
      <c r="N263" s="398"/>
      <c r="O263" s="398"/>
    </row>
    <row r="264" spans="7:15" x14ac:dyDescent="0.25">
      <c r="G264" s="392">
        <v>212</v>
      </c>
      <c r="H264" s="437"/>
      <c r="I264" s="437"/>
      <c r="J264" s="398"/>
      <c r="K264" s="398"/>
      <c r="L264" s="398"/>
      <c r="M264" s="398"/>
      <c r="N264" s="398"/>
      <c r="O264" s="398"/>
    </row>
    <row r="265" spans="7:15" x14ac:dyDescent="0.25">
      <c r="G265" s="392">
        <v>213</v>
      </c>
      <c r="H265" s="437"/>
      <c r="I265" s="437"/>
      <c r="J265" s="398"/>
      <c r="K265" s="398"/>
      <c r="L265" s="398"/>
      <c r="M265" s="398"/>
      <c r="N265" s="398"/>
      <c r="O265" s="398"/>
    </row>
    <row r="266" spans="7:15" x14ac:dyDescent="0.25">
      <c r="G266" s="392">
        <v>214</v>
      </c>
      <c r="H266" s="437"/>
      <c r="I266" s="437"/>
      <c r="J266" s="398"/>
      <c r="K266" s="398"/>
      <c r="L266" s="398"/>
      <c r="M266" s="398"/>
      <c r="N266" s="398"/>
      <c r="O266" s="398"/>
    </row>
    <row r="267" spans="7:15" x14ac:dyDescent="0.25">
      <c r="G267" s="392">
        <v>215</v>
      </c>
      <c r="H267" s="437"/>
      <c r="I267" s="437"/>
      <c r="J267" s="398"/>
      <c r="K267" s="398"/>
      <c r="L267" s="398"/>
      <c r="M267" s="398"/>
      <c r="N267" s="398"/>
      <c r="O267" s="398"/>
    </row>
    <row r="268" spans="7:15" x14ac:dyDescent="0.25">
      <c r="G268" s="392">
        <v>216</v>
      </c>
      <c r="H268" s="437"/>
      <c r="I268" s="437"/>
      <c r="J268" s="398"/>
      <c r="K268" s="398"/>
      <c r="L268" s="398"/>
      <c r="M268" s="398"/>
      <c r="N268" s="398"/>
      <c r="O268" s="398"/>
    </row>
    <row r="269" spans="7:15" x14ac:dyDescent="0.25">
      <c r="G269" s="392">
        <v>217</v>
      </c>
      <c r="H269" s="437"/>
      <c r="I269" s="437"/>
      <c r="J269" s="398"/>
      <c r="K269" s="398"/>
      <c r="L269" s="398"/>
      <c r="M269" s="398"/>
      <c r="N269" s="398"/>
      <c r="O269" s="398"/>
    </row>
    <row r="270" spans="7:15" x14ac:dyDescent="0.25">
      <c r="G270" s="392">
        <v>218</v>
      </c>
      <c r="H270" s="437"/>
      <c r="I270" s="437"/>
      <c r="J270" s="398"/>
      <c r="K270" s="398"/>
      <c r="L270" s="398"/>
      <c r="M270" s="398"/>
      <c r="N270" s="398"/>
      <c r="O270" s="398"/>
    </row>
    <row r="271" spans="7:15" x14ac:dyDescent="0.25">
      <c r="G271" s="392">
        <v>219</v>
      </c>
      <c r="H271" s="437"/>
      <c r="I271" s="437"/>
      <c r="J271" s="398"/>
      <c r="K271" s="398"/>
      <c r="L271" s="398"/>
      <c r="M271" s="398"/>
      <c r="N271" s="398"/>
      <c r="O271" s="398"/>
    </row>
    <row r="272" spans="7:15" x14ac:dyDescent="0.25">
      <c r="G272" s="392">
        <v>220</v>
      </c>
      <c r="H272" s="437"/>
      <c r="I272" s="437"/>
      <c r="J272" s="398"/>
      <c r="K272" s="398"/>
      <c r="L272" s="398"/>
      <c r="M272" s="398"/>
      <c r="N272" s="398"/>
      <c r="O272" s="398"/>
    </row>
    <row r="273" spans="7:15" x14ac:dyDescent="0.25">
      <c r="G273" s="392">
        <v>221</v>
      </c>
      <c r="H273" s="437"/>
      <c r="I273" s="437"/>
      <c r="J273" s="398"/>
      <c r="K273" s="398"/>
      <c r="L273" s="398"/>
      <c r="M273" s="398"/>
      <c r="N273" s="398"/>
      <c r="O273" s="398"/>
    </row>
    <row r="274" spans="7:15" x14ac:dyDescent="0.25">
      <c r="G274" s="392">
        <v>222</v>
      </c>
      <c r="H274" s="437"/>
      <c r="I274" s="437"/>
      <c r="J274" s="398"/>
      <c r="K274" s="398"/>
      <c r="L274" s="398"/>
      <c r="M274" s="398"/>
      <c r="N274" s="398"/>
      <c r="O274" s="398"/>
    </row>
    <row r="275" spans="7:15" x14ac:dyDescent="0.25">
      <c r="G275" s="392">
        <v>223</v>
      </c>
      <c r="H275" s="437"/>
      <c r="I275" s="437"/>
      <c r="J275" s="398"/>
      <c r="K275" s="398"/>
      <c r="L275" s="398"/>
      <c r="M275" s="398"/>
      <c r="N275" s="398"/>
      <c r="O275" s="398"/>
    </row>
    <row r="276" spans="7:15" x14ac:dyDescent="0.25">
      <c r="G276" s="392">
        <v>224</v>
      </c>
      <c r="H276" s="437"/>
      <c r="I276" s="437"/>
      <c r="J276" s="398"/>
      <c r="K276" s="398"/>
      <c r="L276" s="398"/>
      <c r="M276" s="398"/>
      <c r="N276" s="398"/>
      <c r="O276" s="398"/>
    </row>
    <row r="277" spans="7:15" x14ac:dyDescent="0.25">
      <c r="G277" s="392">
        <v>225</v>
      </c>
      <c r="H277" s="437"/>
      <c r="I277" s="437"/>
      <c r="J277" s="398"/>
      <c r="K277" s="398"/>
      <c r="L277" s="398"/>
      <c r="M277" s="398"/>
      <c r="N277" s="398"/>
      <c r="O277" s="398"/>
    </row>
    <row r="278" spans="7:15" x14ac:dyDescent="0.25">
      <c r="G278" s="392">
        <v>226</v>
      </c>
      <c r="H278" s="437"/>
      <c r="I278" s="437"/>
      <c r="J278" s="398"/>
      <c r="K278" s="398"/>
      <c r="L278" s="398"/>
      <c r="M278" s="398"/>
      <c r="N278" s="398"/>
      <c r="O278" s="398"/>
    </row>
    <row r="279" spans="7:15" x14ac:dyDescent="0.25">
      <c r="G279" s="392">
        <v>227</v>
      </c>
      <c r="H279" s="437"/>
      <c r="I279" s="437"/>
      <c r="J279" s="398"/>
      <c r="K279" s="398"/>
      <c r="L279" s="398"/>
      <c r="M279" s="398"/>
      <c r="N279" s="398"/>
      <c r="O279" s="398"/>
    </row>
    <row r="280" spans="7:15" x14ac:dyDescent="0.25">
      <c r="G280" s="392">
        <v>228</v>
      </c>
      <c r="H280" s="437"/>
      <c r="I280" s="437"/>
      <c r="J280" s="398"/>
      <c r="K280" s="398"/>
      <c r="L280" s="398"/>
      <c r="M280" s="398"/>
      <c r="N280" s="398"/>
      <c r="O280" s="398"/>
    </row>
    <row r="281" spans="7:15" x14ac:dyDescent="0.25">
      <c r="G281" s="392">
        <v>229</v>
      </c>
      <c r="H281" s="437"/>
      <c r="I281" s="437"/>
      <c r="J281" s="398"/>
      <c r="K281" s="398"/>
      <c r="L281" s="398"/>
      <c r="M281" s="398"/>
      <c r="N281" s="398"/>
      <c r="O281" s="398"/>
    </row>
    <row r="282" spans="7:15" x14ac:dyDescent="0.25">
      <c r="G282" s="392">
        <v>230</v>
      </c>
      <c r="H282" s="437"/>
      <c r="I282" s="437"/>
      <c r="J282" s="398"/>
      <c r="K282" s="398"/>
      <c r="L282" s="398"/>
      <c r="M282" s="398"/>
      <c r="N282" s="398"/>
      <c r="O282" s="398"/>
    </row>
    <row r="283" spans="7:15" x14ac:dyDescent="0.25">
      <c r="G283" s="392">
        <v>231</v>
      </c>
      <c r="H283" s="437"/>
      <c r="I283" s="437"/>
      <c r="J283" s="398"/>
      <c r="K283" s="398"/>
      <c r="L283" s="398"/>
      <c r="M283" s="398"/>
      <c r="N283" s="398"/>
      <c r="O283" s="398"/>
    </row>
    <row r="284" spans="7:15" x14ac:dyDescent="0.25">
      <c r="G284" s="392">
        <v>232</v>
      </c>
      <c r="H284" s="437"/>
      <c r="I284" s="437"/>
      <c r="J284" s="398"/>
      <c r="K284" s="398"/>
      <c r="L284" s="398"/>
      <c r="M284" s="398"/>
      <c r="N284" s="398"/>
      <c r="O284" s="398"/>
    </row>
    <row r="285" spans="7:15" x14ac:dyDescent="0.25">
      <c r="G285" s="392">
        <v>233</v>
      </c>
      <c r="H285" s="437"/>
      <c r="I285" s="437"/>
      <c r="J285" s="398"/>
      <c r="K285" s="398"/>
      <c r="L285" s="398"/>
      <c r="M285" s="398"/>
      <c r="N285" s="398"/>
      <c r="O285" s="398"/>
    </row>
    <row r="286" spans="7:15" x14ac:dyDescent="0.25">
      <c r="G286" s="392">
        <v>234</v>
      </c>
      <c r="H286" s="437"/>
      <c r="I286" s="437"/>
      <c r="J286" s="398"/>
      <c r="K286" s="398"/>
      <c r="L286" s="398"/>
      <c r="M286" s="398"/>
      <c r="N286" s="398"/>
      <c r="O286" s="398"/>
    </row>
    <row r="287" spans="7:15" x14ac:dyDescent="0.25">
      <c r="G287" s="392">
        <v>235</v>
      </c>
      <c r="H287" s="437"/>
      <c r="I287" s="437"/>
      <c r="J287" s="398"/>
      <c r="K287" s="398"/>
      <c r="L287" s="398"/>
      <c r="M287" s="398"/>
      <c r="N287" s="398"/>
      <c r="O287" s="398"/>
    </row>
    <row r="288" spans="7:15" x14ac:dyDescent="0.25">
      <c r="G288" s="392">
        <v>236</v>
      </c>
      <c r="H288" s="437"/>
      <c r="I288" s="437"/>
      <c r="J288" s="398"/>
      <c r="K288" s="398"/>
      <c r="L288" s="398"/>
      <c r="M288" s="398"/>
      <c r="N288" s="398"/>
      <c r="O288" s="398"/>
    </row>
    <row r="289" spans="7:15" x14ac:dyDescent="0.25">
      <c r="G289" s="392">
        <v>237</v>
      </c>
      <c r="H289" s="437"/>
      <c r="I289" s="437"/>
      <c r="J289" s="398"/>
      <c r="K289" s="398"/>
      <c r="L289" s="398"/>
      <c r="M289" s="398"/>
      <c r="N289" s="398"/>
      <c r="O289" s="398"/>
    </row>
    <row r="290" spans="7:15" x14ac:dyDescent="0.25">
      <c r="G290" s="392">
        <v>238</v>
      </c>
      <c r="H290" s="437"/>
      <c r="I290" s="437"/>
      <c r="J290" s="398"/>
      <c r="K290" s="398"/>
      <c r="L290" s="398"/>
      <c r="M290" s="398"/>
      <c r="N290" s="398"/>
      <c r="O290" s="398"/>
    </row>
    <row r="291" spans="7:15" x14ac:dyDescent="0.25">
      <c r="G291" s="392">
        <v>239</v>
      </c>
      <c r="H291" s="437"/>
      <c r="I291" s="437"/>
      <c r="J291" s="398"/>
      <c r="K291" s="398"/>
      <c r="L291" s="398"/>
      <c r="M291" s="398"/>
      <c r="N291" s="398"/>
      <c r="O291" s="398"/>
    </row>
    <row r="292" spans="7:15" x14ac:dyDescent="0.25">
      <c r="G292" s="392">
        <v>240</v>
      </c>
      <c r="H292" s="437"/>
      <c r="I292" s="437"/>
      <c r="J292" s="398"/>
      <c r="K292" s="398"/>
      <c r="L292" s="398"/>
      <c r="M292" s="398"/>
      <c r="N292" s="398"/>
      <c r="O292" s="398"/>
    </row>
    <row r="293" spans="7:15" x14ac:dyDescent="0.25">
      <c r="G293" s="392">
        <v>241</v>
      </c>
      <c r="H293" s="437"/>
      <c r="I293" s="437"/>
      <c r="J293" s="398"/>
      <c r="K293" s="398"/>
      <c r="L293" s="398"/>
      <c r="M293" s="398"/>
      <c r="N293" s="398"/>
      <c r="O293" s="398"/>
    </row>
    <row r="294" spans="7:15" x14ac:dyDescent="0.25">
      <c r="G294" s="392">
        <v>242</v>
      </c>
      <c r="H294" s="437"/>
      <c r="I294" s="437"/>
      <c r="J294" s="398"/>
      <c r="K294" s="398"/>
      <c r="L294" s="398"/>
      <c r="M294" s="398"/>
      <c r="N294" s="398"/>
      <c r="O294" s="398"/>
    </row>
    <row r="295" spans="7:15" x14ac:dyDescent="0.25">
      <c r="G295" s="392">
        <v>243</v>
      </c>
      <c r="H295" s="437"/>
      <c r="I295" s="437"/>
      <c r="J295" s="398"/>
      <c r="K295" s="398"/>
      <c r="L295" s="398"/>
      <c r="M295" s="398"/>
      <c r="N295" s="398"/>
      <c r="O295" s="398"/>
    </row>
    <row r="296" spans="7:15" x14ac:dyDescent="0.25">
      <c r="G296" s="392">
        <v>244</v>
      </c>
      <c r="H296" s="437"/>
      <c r="I296" s="437"/>
      <c r="J296" s="398"/>
      <c r="K296" s="398"/>
      <c r="L296" s="398"/>
      <c r="M296" s="398"/>
      <c r="N296" s="398"/>
      <c r="O296" s="398"/>
    </row>
    <row r="297" spans="7:15" x14ac:dyDescent="0.25">
      <c r="G297" s="392">
        <v>245</v>
      </c>
      <c r="H297" s="437"/>
      <c r="I297" s="437"/>
      <c r="J297" s="398"/>
      <c r="K297" s="398"/>
      <c r="L297" s="398"/>
      <c r="M297" s="398"/>
      <c r="N297" s="398"/>
      <c r="O297" s="398"/>
    </row>
    <row r="298" spans="7:15" x14ac:dyDescent="0.25">
      <c r="G298" s="392">
        <v>246</v>
      </c>
      <c r="H298" s="437"/>
      <c r="I298" s="437"/>
      <c r="J298" s="398"/>
      <c r="K298" s="398"/>
      <c r="L298" s="398"/>
      <c r="M298" s="398"/>
      <c r="N298" s="398"/>
      <c r="O298" s="398"/>
    </row>
    <row r="299" spans="7:15" x14ac:dyDescent="0.25">
      <c r="G299" s="392">
        <v>247</v>
      </c>
      <c r="H299" s="437"/>
      <c r="I299" s="437"/>
      <c r="J299" s="398"/>
      <c r="K299" s="398"/>
      <c r="L299" s="398"/>
      <c r="M299" s="398"/>
      <c r="N299" s="398"/>
      <c r="O299" s="398"/>
    </row>
    <row r="300" spans="7:15" x14ac:dyDescent="0.25">
      <c r="G300" s="392">
        <v>248</v>
      </c>
      <c r="H300" s="437"/>
      <c r="I300" s="437"/>
      <c r="J300" s="398"/>
      <c r="K300" s="398"/>
      <c r="L300" s="398"/>
      <c r="M300" s="398"/>
      <c r="N300" s="398"/>
      <c r="O300" s="398"/>
    </row>
    <row r="301" spans="7:15" x14ac:dyDescent="0.25">
      <c r="G301" s="392">
        <v>249</v>
      </c>
      <c r="H301" s="437"/>
      <c r="I301" s="437"/>
      <c r="J301" s="398"/>
      <c r="K301" s="398"/>
      <c r="L301" s="398"/>
      <c r="M301" s="398"/>
      <c r="N301" s="398"/>
      <c r="O301" s="398"/>
    </row>
    <row r="302" spans="7:15" x14ac:dyDescent="0.25">
      <c r="G302" s="392">
        <v>250</v>
      </c>
      <c r="H302" s="437"/>
      <c r="I302" s="437"/>
      <c r="J302" s="398"/>
      <c r="K302" s="398"/>
      <c r="L302" s="398"/>
      <c r="M302" s="398"/>
      <c r="N302" s="398"/>
      <c r="O302" s="398"/>
    </row>
  </sheetData>
  <sheetProtection sheet="1" objects="1" scenarios="1"/>
  <mergeCells count="270">
    <mergeCell ref="D3:F3"/>
    <mergeCell ref="D5:I5"/>
    <mergeCell ref="K5:M5"/>
    <mergeCell ref="D6:I6"/>
    <mergeCell ref="K6:M6"/>
    <mergeCell ref="I38:J38"/>
    <mergeCell ref="K38:L38"/>
    <mergeCell ref="I26:L26"/>
    <mergeCell ref="H26:H27"/>
    <mergeCell ref="D35:N36"/>
    <mergeCell ref="H38:H39"/>
    <mergeCell ref="D8:M8"/>
    <mergeCell ref="D9:M9"/>
    <mergeCell ref="D11:N13"/>
    <mergeCell ref="D23:N24"/>
    <mergeCell ref="H54:I54"/>
    <mergeCell ref="H55:I55"/>
    <mergeCell ref="H56:I56"/>
    <mergeCell ref="H57:I57"/>
    <mergeCell ref="H58:I58"/>
    <mergeCell ref="D47:N48"/>
    <mergeCell ref="H50:I50"/>
    <mergeCell ref="H51:I51"/>
    <mergeCell ref="H52:I52"/>
    <mergeCell ref="H53:I53"/>
    <mergeCell ref="H64:I64"/>
    <mergeCell ref="H65:I65"/>
    <mergeCell ref="H66:I66"/>
    <mergeCell ref="H67:I67"/>
    <mergeCell ref="H68:I68"/>
    <mergeCell ref="H59:I59"/>
    <mergeCell ref="H60:I60"/>
    <mergeCell ref="H61:I61"/>
    <mergeCell ref="H62:I62"/>
    <mergeCell ref="H63:I63"/>
    <mergeCell ref="H74:I74"/>
    <mergeCell ref="H75:I75"/>
    <mergeCell ref="H76:I76"/>
    <mergeCell ref="H77:I77"/>
    <mergeCell ref="H78:I78"/>
    <mergeCell ref="H69:I69"/>
    <mergeCell ref="H70:I70"/>
    <mergeCell ref="H71:I71"/>
    <mergeCell ref="H72:I72"/>
    <mergeCell ref="H73:I73"/>
    <mergeCell ref="H84:I84"/>
    <mergeCell ref="H85:I85"/>
    <mergeCell ref="H86:I86"/>
    <mergeCell ref="H87:I87"/>
    <mergeCell ref="H88:I88"/>
    <mergeCell ref="H79:I79"/>
    <mergeCell ref="H80:I80"/>
    <mergeCell ref="H81:I81"/>
    <mergeCell ref="H82:I82"/>
    <mergeCell ref="H83:I83"/>
    <mergeCell ref="H94:I94"/>
    <mergeCell ref="H95:I95"/>
    <mergeCell ref="H96:I96"/>
    <mergeCell ref="H97:I97"/>
    <mergeCell ref="H98:I98"/>
    <mergeCell ref="H89:I89"/>
    <mergeCell ref="H90:I90"/>
    <mergeCell ref="H91:I91"/>
    <mergeCell ref="H92:I92"/>
    <mergeCell ref="H93:I93"/>
    <mergeCell ref="H104:I104"/>
    <mergeCell ref="H105:I105"/>
    <mergeCell ref="H106:I106"/>
    <mergeCell ref="H107:I107"/>
    <mergeCell ref="H108:I108"/>
    <mergeCell ref="H99:I99"/>
    <mergeCell ref="H100:I100"/>
    <mergeCell ref="H101:I101"/>
    <mergeCell ref="H102:I102"/>
    <mergeCell ref="H103:I103"/>
    <mergeCell ref="H114:I114"/>
    <mergeCell ref="H115:I115"/>
    <mergeCell ref="H116:I116"/>
    <mergeCell ref="H117:I117"/>
    <mergeCell ref="H118:I118"/>
    <mergeCell ref="H109:I109"/>
    <mergeCell ref="H110:I110"/>
    <mergeCell ref="H111:I111"/>
    <mergeCell ref="H112:I112"/>
    <mergeCell ref="H113:I113"/>
    <mergeCell ref="H124:I124"/>
    <mergeCell ref="H125:I125"/>
    <mergeCell ref="H126:I126"/>
    <mergeCell ref="H127:I127"/>
    <mergeCell ref="H128:I128"/>
    <mergeCell ref="H119:I119"/>
    <mergeCell ref="H120:I120"/>
    <mergeCell ref="H121:I121"/>
    <mergeCell ref="H122:I122"/>
    <mergeCell ref="H123:I123"/>
    <mergeCell ref="H134:I134"/>
    <mergeCell ref="H135:I135"/>
    <mergeCell ref="H136:I136"/>
    <mergeCell ref="H137:I137"/>
    <mergeCell ref="H138:I138"/>
    <mergeCell ref="H129:I129"/>
    <mergeCell ref="H130:I130"/>
    <mergeCell ref="H131:I131"/>
    <mergeCell ref="H132:I132"/>
    <mergeCell ref="H133:I133"/>
    <mergeCell ref="H144:I144"/>
    <mergeCell ref="H145:I145"/>
    <mergeCell ref="H146:I146"/>
    <mergeCell ref="H147:I147"/>
    <mergeCell ref="H148:I148"/>
    <mergeCell ref="H139:I139"/>
    <mergeCell ref="H140:I140"/>
    <mergeCell ref="H141:I141"/>
    <mergeCell ref="H142:I142"/>
    <mergeCell ref="H143:I143"/>
    <mergeCell ref="H154:I154"/>
    <mergeCell ref="H155:I155"/>
    <mergeCell ref="H156:I156"/>
    <mergeCell ref="H157:I157"/>
    <mergeCell ref="H158:I158"/>
    <mergeCell ref="H149:I149"/>
    <mergeCell ref="H150:I150"/>
    <mergeCell ref="H151:I151"/>
    <mergeCell ref="H152:I152"/>
    <mergeCell ref="H153:I153"/>
    <mergeCell ref="H164:I164"/>
    <mergeCell ref="H165:I165"/>
    <mergeCell ref="H166:I166"/>
    <mergeCell ref="H167:I167"/>
    <mergeCell ref="H168:I168"/>
    <mergeCell ref="H159:I159"/>
    <mergeCell ref="H160:I160"/>
    <mergeCell ref="H161:I161"/>
    <mergeCell ref="H162:I162"/>
    <mergeCell ref="H163:I163"/>
    <mergeCell ref="H174:I174"/>
    <mergeCell ref="H175:I175"/>
    <mergeCell ref="H176:I176"/>
    <mergeCell ref="H177:I177"/>
    <mergeCell ref="H178:I178"/>
    <mergeCell ref="H169:I169"/>
    <mergeCell ref="H170:I170"/>
    <mergeCell ref="H171:I171"/>
    <mergeCell ref="H172:I172"/>
    <mergeCell ref="H173:I173"/>
    <mergeCell ref="H184:I184"/>
    <mergeCell ref="H185:I185"/>
    <mergeCell ref="H186:I186"/>
    <mergeCell ref="H187:I187"/>
    <mergeCell ref="H188:I188"/>
    <mergeCell ref="H179:I179"/>
    <mergeCell ref="H180:I180"/>
    <mergeCell ref="H181:I181"/>
    <mergeCell ref="H182:I182"/>
    <mergeCell ref="H183:I183"/>
    <mergeCell ref="H194:I194"/>
    <mergeCell ref="H195:I195"/>
    <mergeCell ref="H196:I196"/>
    <mergeCell ref="H197:I197"/>
    <mergeCell ref="H198:I198"/>
    <mergeCell ref="H189:I189"/>
    <mergeCell ref="H190:I190"/>
    <mergeCell ref="H191:I191"/>
    <mergeCell ref="H192:I192"/>
    <mergeCell ref="H193:I193"/>
    <mergeCell ref="H204:I204"/>
    <mergeCell ref="H205:I205"/>
    <mergeCell ref="H206:I206"/>
    <mergeCell ref="H207:I207"/>
    <mergeCell ref="H208:I208"/>
    <mergeCell ref="H199:I199"/>
    <mergeCell ref="H200:I200"/>
    <mergeCell ref="H201:I201"/>
    <mergeCell ref="H202:I202"/>
    <mergeCell ref="H203:I203"/>
    <mergeCell ref="H214:I214"/>
    <mergeCell ref="H215:I215"/>
    <mergeCell ref="H216:I216"/>
    <mergeCell ref="H217:I217"/>
    <mergeCell ref="H218:I218"/>
    <mergeCell ref="H209:I209"/>
    <mergeCell ref="H210:I210"/>
    <mergeCell ref="H211:I211"/>
    <mergeCell ref="H212:I212"/>
    <mergeCell ref="H213:I213"/>
    <mergeCell ref="H224:I224"/>
    <mergeCell ref="H225:I225"/>
    <mergeCell ref="H226:I226"/>
    <mergeCell ref="H227:I227"/>
    <mergeCell ref="H228:I228"/>
    <mergeCell ref="H219:I219"/>
    <mergeCell ref="H220:I220"/>
    <mergeCell ref="H221:I221"/>
    <mergeCell ref="H222:I222"/>
    <mergeCell ref="H223:I223"/>
    <mergeCell ref="H234:I234"/>
    <mergeCell ref="H235:I235"/>
    <mergeCell ref="H236:I236"/>
    <mergeCell ref="H237:I237"/>
    <mergeCell ref="H238:I238"/>
    <mergeCell ref="H229:I229"/>
    <mergeCell ref="H230:I230"/>
    <mergeCell ref="H231:I231"/>
    <mergeCell ref="H232:I232"/>
    <mergeCell ref="H233:I233"/>
    <mergeCell ref="H244:I244"/>
    <mergeCell ref="H245:I245"/>
    <mergeCell ref="H246:I246"/>
    <mergeCell ref="H247:I247"/>
    <mergeCell ref="H248:I248"/>
    <mergeCell ref="H239:I239"/>
    <mergeCell ref="H240:I240"/>
    <mergeCell ref="H241:I241"/>
    <mergeCell ref="H242:I242"/>
    <mergeCell ref="H243:I243"/>
    <mergeCell ref="H254:I254"/>
    <mergeCell ref="H255:I255"/>
    <mergeCell ref="H256:I256"/>
    <mergeCell ref="H257:I257"/>
    <mergeCell ref="H258:I258"/>
    <mergeCell ref="H249:I249"/>
    <mergeCell ref="H250:I250"/>
    <mergeCell ref="H251:I251"/>
    <mergeCell ref="H252:I252"/>
    <mergeCell ref="H253:I253"/>
    <mergeCell ref="H264:I264"/>
    <mergeCell ref="H265:I265"/>
    <mergeCell ref="H266:I266"/>
    <mergeCell ref="H267:I267"/>
    <mergeCell ref="H268:I268"/>
    <mergeCell ref="H259:I259"/>
    <mergeCell ref="H260:I260"/>
    <mergeCell ref="H261:I261"/>
    <mergeCell ref="H262:I262"/>
    <mergeCell ref="H263:I263"/>
    <mergeCell ref="H283:I283"/>
    <mergeCell ref="H274:I274"/>
    <mergeCell ref="H275:I275"/>
    <mergeCell ref="H276:I276"/>
    <mergeCell ref="H277:I277"/>
    <mergeCell ref="H278:I278"/>
    <mergeCell ref="H269:I269"/>
    <mergeCell ref="H270:I270"/>
    <mergeCell ref="H271:I271"/>
    <mergeCell ref="H272:I272"/>
    <mergeCell ref="H273:I273"/>
    <mergeCell ref="H299:I299"/>
    <mergeCell ref="H300:I300"/>
    <mergeCell ref="H301:I301"/>
    <mergeCell ref="H302:I302"/>
    <mergeCell ref="C1:P1"/>
    <mergeCell ref="H294:I294"/>
    <mergeCell ref="H295:I295"/>
    <mergeCell ref="H296:I296"/>
    <mergeCell ref="H297:I297"/>
    <mergeCell ref="H298:I298"/>
    <mergeCell ref="H289:I289"/>
    <mergeCell ref="H290:I290"/>
    <mergeCell ref="H291:I291"/>
    <mergeCell ref="H292:I292"/>
    <mergeCell ref="H293:I293"/>
    <mergeCell ref="H284:I284"/>
    <mergeCell ref="H285:I285"/>
    <mergeCell ref="H286:I286"/>
    <mergeCell ref="H287:I287"/>
    <mergeCell ref="H288:I288"/>
    <mergeCell ref="H279:I279"/>
    <mergeCell ref="H280:I280"/>
    <mergeCell ref="H281:I281"/>
    <mergeCell ref="H282:I282"/>
  </mergeCells>
  <conditionalFormatting sqref="G53">
    <cfRule type="expression" dxfId="47" priority="20">
      <formula>$H50&lt;&gt;""</formula>
    </cfRule>
  </conditionalFormatting>
  <conditionalFormatting sqref="H53:L53">
    <cfRule type="expression" dxfId="46" priority="21">
      <formula>$H50&lt;&gt;""</formula>
    </cfRule>
  </conditionalFormatting>
  <conditionalFormatting sqref="M50">
    <cfRule type="expression" dxfId="45" priority="16">
      <formula>$K$6&lt;&gt;"Grupo empresarial"</formula>
    </cfRule>
  </conditionalFormatting>
  <conditionalFormatting sqref="N50">
    <cfRule type="expression" dxfId="44" priority="15">
      <formula>$K$6&lt;&gt;"Grupo empresarial"</formula>
    </cfRule>
  </conditionalFormatting>
  <conditionalFormatting sqref="O50">
    <cfRule type="expression" dxfId="43" priority="10">
      <formula>$K$6&lt;&gt;"Grupo empresarial"</formula>
    </cfRule>
  </conditionalFormatting>
  <conditionalFormatting sqref="M53">
    <cfRule type="expression" dxfId="42" priority="7">
      <formula>AND($H50&lt;&gt;"",$K$6="Grupo empresarial")</formula>
    </cfRule>
  </conditionalFormatting>
  <conditionalFormatting sqref="N53:O53">
    <cfRule type="expression" dxfId="41" priority="6">
      <formula>AND($H50&lt;&gt;"",$K$6="Grupo empresarial")</formula>
    </cfRule>
  </conditionalFormatting>
  <conditionalFormatting sqref="M54:M302">
    <cfRule type="expression" dxfId="40" priority="5">
      <formula>AND($H53&lt;&gt;"",$K$6="Grupo empresarial")</formula>
    </cfRule>
  </conditionalFormatting>
  <conditionalFormatting sqref="N54:O302">
    <cfRule type="expression" dxfId="39" priority="4">
      <formula>AND($H53&lt;&gt;"",$K$6="Grupo empresarial")</formula>
    </cfRule>
  </conditionalFormatting>
  <conditionalFormatting sqref="G54 G56 G58 G60 G62 G64 G66 G68 G70 G72 G74 G76 G78 G80 G82 G84 G86 G88 G90 G92 G94 G96 G98 G100 G102 G104 G106 G108 G110 G112 G114 G116 G118 G120 G122 G124 G126 G128 G130 G132 G134 G136 G138 G140 G142 G144 G146 G148 G150 G152 G154 G156 G158 G160 G162 G164 G166 G168 G170 G172 G174 G176 G178 G180 G182 G184 G186 G188 G190 G192 G194 G196 G198 G200 G202 G204 G206 G208 G210 G212 G214 G216 G218 G220 G222 G224 G226 G228 G230 G232 G234 G236 G238 G240 G242 G244 G246 G248 G250 G252 G254 G256 G258 G260 G262 G264 G266 G268 G270 G272 G274 G276 G278 G280 G282 G284 G286 G288 G290 G292 G294 G296 G298 G300 G302">
    <cfRule type="expression" dxfId="38" priority="3">
      <formula>$H53&lt;&gt;""</formula>
    </cfRule>
  </conditionalFormatting>
  <conditionalFormatting sqref="H54:L302">
    <cfRule type="expression" dxfId="37" priority="2">
      <formula>$H53&lt;&gt;""</formula>
    </cfRule>
  </conditionalFormatting>
  <conditionalFormatting sqref="G55 G57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G271 G273 G275 G277 G279 G281 G283 G285 G287 G289 G291 G293 G295 G297 G299 G301">
    <cfRule type="expression" dxfId="36" priority="1">
      <formula>$H54&lt;&gt;""</formula>
    </cfRule>
  </conditionalFormatting>
  <dataValidations count="12">
    <dataValidation type="list" operator="equal" allowBlank="1" showInputMessage="1" showErrorMessage="1" sqref="G3">
      <formula1>Año</formula1>
      <formula2>0</formula2>
    </dataValidation>
    <dataValidation type="textLength" operator="equal" allowBlank="1" showInputMessage="1" showErrorMessage="1" error="Introducir 9 caracteres sin incluir guiones ni puntos." sqref="J6">
      <formula1>9</formula1>
      <formula2>0</formula2>
    </dataValidation>
    <dataValidation type="list" operator="equal" allowBlank="1" showInputMessage="1" showErrorMessage="1" sqref="K6:M6">
      <formula1>TipoOrg</formula1>
      <formula2>0</formula2>
    </dataValidation>
    <dataValidation type="list" operator="equal" allowBlank="1" showInputMessage="1" showErrorMessage="1" sqref="D9">
      <formula1>Sector</formula1>
      <formula2>0</formula2>
    </dataValidation>
    <dataValidation type="whole" operator="lessThan" allowBlank="1" showInputMessage="1" showErrorMessage="1" error="El año 1 ha de ser anterior al año de cálculo." sqref="H15">
      <formula1>G3</formula1>
      <formula2>0</formula2>
    </dataValidation>
    <dataValidation type="decimal" operator="greaterThan" allowBlank="1" showInputMessage="1" showErrorMessage="1" error="Este dato ha de ser un valor numérico" sqref="K15:L15 K17:L17 K19:L19 K21:L21 I42:I44 I40:L40 K42:K44">
      <formula1>0</formula1>
      <formula2>0</formula2>
    </dataValidation>
    <dataValidation type="whole" allowBlank="1" showInputMessage="1" showErrorMessage="1" error="El año 2 ha de ser posterior al año1." sqref="H17">
      <formula1>H15+1</formula1>
      <formula2>H21-1</formula2>
    </dataValidation>
    <dataValidation type="whole" allowBlank="1" showInputMessage="1" showErrorMessage="1" error="El año 3 ha de ser posterior al año 2 y anterior al año de cálculo." sqref="H19">
      <formula1>H17+1</formula1>
      <formula2>H21-1</formula2>
    </dataValidation>
    <dataValidation type="decimal" operator="greaterThan" allowBlank="1" showInputMessage="1" showErrorMessage="1" error="Este dato ha ser un valor numérico." sqref="J28:J29">
      <formula1>0</formula1>
      <formula2>0</formula2>
    </dataValidation>
    <dataValidation type="decimal" operator="greaterThan" allowBlank="1" showInputMessage="1" showErrorMessage="1" sqref="J42:J44 L42:L44">
      <formula1>0</formula1>
      <formula2>0</formula2>
    </dataValidation>
    <dataValidation type="textLength" operator="equal" allowBlank="1" showInputMessage="1" showErrorMessage="1" error="Introducir 9 caracteres sin incluir guiones ni puntos." sqref="O53:O354">
      <formula1>9</formula1>
    </dataValidation>
    <dataValidation type="decimal" operator="greaterThan" allowBlank="1" showInputMessage="1" showErrorMessage="1" error="Este dato ha de ser un valor numérico." sqref="K53:L354">
      <formula1>0</formula1>
    </dataValidation>
  </dataValidations>
  <hyperlinks>
    <hyperlink ref="A4" location="'1_Combustibles fósiles'!A1" display="1. HC Alcance 1: Comb. fósiles"/>
    <hyperlink ref="A5" location="'2_Fluorados'!A1" display="2. HC Alcance 1: Fugas fluorados"/>
    <hyperlink ref="A6" location="'3_Emisiones proceso'!A1" display="3. HC Alcance 1: Emisiones proceso"/>
    <hyperlink ref="A7" location="'4.1_Electricidad Illes Balears'!A1" display="4.1 HC 2: Electricidad I. Balears"/>
    <hyperlink ref="A8" location="'4.2_Electricidad España'!A1" display="4.2 HC 2: Electricidad España"/>
    <hyperlink ref="A9" location="'5_Información adicional'!A1" display="5. Inf. adicional: renovables"/>
    <hyperlink ref="A10" location="'6.1_Resultados Illes Balears'!A1" display="6.1 Informe final: Resultados I. Balears"/>
    <hyperlink ref="A11" location="'6.2_Resultados España'!A1" display="6.2 Informe final: Resultados España"/>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Dades!$F$656:$F$658</xm:f>
          </x14:formula1>
          <xm:sqref>J53:J302 N53:N354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MK153"/>
  <sheetViews>
    <sheetView showRowColHeaders="0" zoomScaleNormal="100" workbookViewId="0">
      <pane xSplit="1" topLeftCell="B1" activePane="topRight" state="frozen"/>
      <selection pane="topRight" activeCell="S48" sqref="S48"/>
    </sheetView>
  </sheetViews>
  <sheetFormatPr baseColWidth="10" defaultColWidth="9.140625" defaultRowHeight="15" x14ac:dyDescent="0.25"/>
  <cols>
    <col min="1" max="1" width="31.5703125" style="41" customWidth="1"/>
    <col min="2" max="2" width="1.7109375" style="13" customWidth="1"/>
    <col min="3" max="3" width="1" style="13" customWidth="1"/>
    <col min="4" max="4" width="1.42578125" style="26" customWidth="1"/>
    <col min="5" max="5" width="24.7109375" style="26" customWidth="1"/>
    <col min="6" max="6" width="22.28515625" style="26" customWidth="1"/>
    <col min="7" max="7" width="14.85546875" style="26" customWidth="1"/>
    <col min="8" max="8" width="13.7109375" style="26" customWidth="1"/>
    <col min="9" max="9" width="14.85546875" style="26" customWidth="1"/>
    <col min="10" max="11" width="15.42578125" style="26" customWidth="1"/>
    <col min="12" max="12" width="16.7109375" style="26" customWidth="1"/>
    <col min="13" max="13" width="22.140625" style="26" customWidth="1"/>
    <col min="14" max="14" width="20" style="26" customWidth="1"/>
    <col min="15" max="15" width="22.28515625" style="26" customWidth="1"/>
    <col min="16" max="16" width="16" style="26" customWidth="1"/>
    <col min="17" max="17" width="16.5703125" style="26" customWidth="1"/>
    <col min="18" max="18" width="12.28515625" style="26" customWidth="1"/>
    <col min="19" max="19" width="17.5703125" style="26" customWidth="1"/>
    <col min="20" max="20" width="18.85546875" style="26" customWidth="1"/>
    <col min="21" max="21" width="24" style="26" customWidth="1"/>
    <col min="22" max="22" width="19.140625" style="26" customWidth="1"/>
    <col min="23" max="23" width="3.85546875" style="26" customWidth="1"/>
    <col min="24" max="1025" width="11.42578125" style="26"/>
  </cols>
  <sheetData>
    <row r="1" spans="1:23" ht="40.700000000000003" customHeight="1" x14ac:dyDescent="0.25">
      <c r="B1" s="14"/>
      <c r="C1" s="439" t="s">
        <v>57</v>
      </c>
      <c r="D1" s="439"/>
      <c r="E1" s="439"/>
      <c r="F1" s="439"/>
      <c r="G1" s="439"/>
      <c r="H1" s="439"/>
      <c r="I1" s="439"/>
      <c r="J1" s="439"/>
      <c r="K1" s="439"/>
      <c r="L1" s="439"/>
      <c r="M1" s="439"/>
      <c r="N1" s="439"/>
      <c r="O1" s="439"/>
      <c r="P1" s="439"/>
      <c r="Q1" s="439"/>
      <c r="R1" s="439"/>
      <c r="S1" s="439"/>
      <c r="T1" s="439"/>
      <c r="U1" s="439"/>
      <c r="V1" s="439"/>
      <c r="W1" s="439"/>
    </row>
    <row r="2" spans="1:23" ht="40.700000000000003" customHeight="1" x14ac:dyDescent="0.25">
      <c r="B2" s="14"/>
    </row>
    <row r="3" spans="1:23" ht="16.5" customHeight="1" x14ac:dyDescent="0.25">
      <c r="A3" s="18" t="s">
        <v>17</v>
      </c>
      <c r="B3" s="16"/>
      <c r="E3" s="477" t="s">
        <v>58</v>
      </c>
      <c r="F3" s="477"/>
      <c r="G3" s="477"/>
      <c r="H3" s="477"/>
      <c r="I3" s="477"/>
      <c r="J3" s="477"/>
      <c r="K3" s="477"/>
      <c r="L3" s="477"/>
      <c r="M3" s="477"/>
      <c r="N3" s="477"/>
      <c r="O3" s="477"/>
      <c r="P3" s="477"/>
      <c r="Q3" s="477"/>
      <c r="R3" s="477"/>
      <c r="S3" s="42"/>
    </row>
    <row r="4" spans="1:23" ht="14.25" customHeight="1" x14ac:dyDescent="0.25">
      <c r="A4" s="15" t="s">
        <v>59</v>
      </c>
      <c r="B4" s="16"/>
      <c r="E4" s="477"/>
      <c r="F4" s="477"/>
      <c r="G4" s="477"/>
      <c r="H4" s="477"/>
      <c r="I4" s="477"/>
      <c r="J4" s="477"/>
      <c r="K4" s="477"/>
      <c r="L4" s="477"/>
      <c r="M4" s="477"/>
      <c r="N4" s="477"/>
      <c r="O4" s="477"/>
      <c r="P4" s="477"/>
      <c r="Q4" s="477"/>
      <c r="R4" s="477"/>
    </row>
    <row r="5" spans="1:23" ht="16.5" customHeight="1" x14ac:dyDescent="0.25">
      <c r="A5" s="18" t="s">
        <v>20</v>
      </c>
      <c r="B5" s="16"/>
      <c r="E5" s="43" t="s">
        <v>60</v>
      </c>
      <c r="G5" s="44"/>
      <c r="H5" s="44"/>
      <c r="I5" s="44"/>
      <c r="J5" s="44"/>
      <c r="K5" s="44"/>
      <c r="L5" s="44"/>
      <c r="M5" s="44"/>
      <c r="N5" s="44"/>
      <c r="O5" s="44"/>
      <c r="P5" s="45"/>
      <c r="Q5" s="45"/>
      <c r="R5" s="44"/>
    </row>
    <row r="6" spans="1:23" ht="16.5" customHeight="1" x14ac:dyDescent="0.25">
      <c r="A6" s="18" t="s">
        <v>24</v>
      </c>
      <c r="B6" s="16"/>
      <c r="C6" s="46"/>
      <c r="D6" s="13"/>
      <c r="E6" s="43" t="s">
        <v>61</v>
      </c>
    </row>
    <row r="7" spans="1:23" ht="16.5" customHeight="1" x14ac:dyDescent="0.25">
      <c r="A7" s="18" t="s">
        <v>26</v>
      </c>
      <c r="B7" s="16"/>
      <c r="E7" s="478" t="s">
        <v>62</v>
      </c>
      <c r="F7" s="478"/>
      <c r="G7" s="478"/>
      <c r="H7" s="478"/>
      <c r="I7" s="478"/>
      <c r="J7" s="478"/>
      <c r="K7" s="478"/>
      <c r="L7" s="478"/>
      <c r="M7" s="478"/>
      <c r="N7" s="478"/>
      <c r="O7" s="478"/>
      <c r="P7" s="478"/>
      <c r="Q7" s="478"/>
      <c r="R7" s="478"/>
      <c r="S7" s="42"/>
    </row>
    <row r="8" spans="1:23" ht="16.5" customHeight="1" x14ac:dyDescent="0.25">
      <c r="A8" s="18" t="s">
        <v>27</v>
      </c>
      <c r="E8" s="478"/>
      <c r="F8" s="478"/>
      <c r="G8" s="478"/>
      <c r="H8" s="478"/>
      <c r="I8" s="478"/>
      <c r="J8" s="478"/>
      <c r="K8" s="478"/>
      <c r="L8" s="478"/>
      <c r="M8" s="478"/>
      <c r="N8" s="478"/>
      <c r="O8" s="478"/>
      <c r="P8" s="478"/>
      <c r="Q8" s="478"/>
      <c r="R8" s="478"/>
      <c r="S8" s="42"/>
    </row>
    <row r="9" spans="1:23" ht="16.5" hidden="1" customHeight="1" x14ac:dyDescent="0.25">
      <c r="A9" s="47"/>
      <c r="F9" s="27"/>
      <c r="G9" s="27"/>
      <c r="H9" s="27"/>
      <c r="I9" s="27"/>
      <c r="J9" s="27"/>
      <c r="K9" s="27"/>
      <c r="L9" s="27"/>
      <c r="M9" s="27"/>
      <c r="N9" s="27"/>
      <c r="O9" s="27"/>
      <c r="P9" s="48"/>
      <c r="Q9" s="48"/>
      <c r="R9" s="27"/>
      <c r="S9" s="27"/>
    </row>
    <row r="10" spans="1:23" ht="16.5" hidden="1" customHeight="1" x14ac:dyDescent="0.25">
      <c r="A10" s="47"/>
      <c r="S10" s="27"/>
    </row>
    <row r="11" spans="1:23" ht="16.5" customHeight="1" x14ac:dyDescent="0.25">
      <c r="A11" s="17" t="s">
        <v>29</v>
      </c>
      <c r="E11" s="479"/>
      <c r="F11" s="479"/>
      <c r="G11" s="479"/>
      <c r="H11" s="479"/>
      <c r="I11" s="479"/>
      <c r="J11" s="479"/>
      <c r="K11" s="479"/>
      <c r="L11" s="479"/>
      <c r="M11" s="479"/>
      <c r="N11" s="479"/>
      <c r="O11" s="479"/>
      <c r="P11" s="479"/>
      <c r="Q11" s="479"/>
      <c r="R11" s="479"/>
      <c r="S11" s="27"/>
    </row>
    <row r="12" spans="1:23" s="41" customFormat="1" ht="20.100000000000001" customHeight="1" x14ac:dyDescent="0.25">
      <c r="A12" s="17" t="s">
        <v>31</v>
      </c>
      <c r="B12" s="13"/>
      <c r="C12" s="13"/>
      <c r="D12" s="469" t="s">
        <v>63</v>
      </c>
      <c r="E12" s="469"/>
      <c r="F12" s="469"/>
      <c r="G12" s="469"/>
      <c r="H12" s="469"/>
      <c r="I12" s="469"/>
      <c r="J12" s="469"/>
      <c r="K12" s="469"/>
      <c r="L12" s="469"/>
      <c r="M12" s="469"/>
      <c r="N12" s="469"/>
      <c r="O12" s="469"/>
      <c r="P12" s="469"/>
      <c r="Q12" s="469"/>
      <c r="R12" s="469"/>
      <c r="S12" s="469"/>
      <c r="T12" s="469"/>
      <c r="U12" s="469"/>
      <c r="V12" s="469"/>
    </row>
    <row r="13" spans="1:23" ht="17.25" customHeight="1" x14ac:dyDescent="0.3">
      <c r="A13" s="17" t="s">
        <v>32</v>
      </c>
      <c r="E13" s="49"/>
      <c r="F13" s="27"/>
      <c r="G13" s="27"/>
      <c r="H13" s="27"/>
      <c r="I13" s="27"/>
      <c r="J13" s="27"/>
      <c r="K13" s="27"/>
      <c r="L13" s="27"/>
      <c r="M13" s="27"/>
      <c r="N13" s="27"/>
      <c r="O13" s="27"/>
      <c r="P13" s="48"/>
      <c r="Q13" s="48"/>
      <c r="R13" s="27"/>
      <c r="S13" s="27"/>
    </row>
    <row r="14" spans="1:23" s="50" customFormat="1" ht="32.1" customHeight="1" x14ac:dyDescent="0.25">
      <c r="A14" s="17"/>
      <c r="B14" s="13"/>
      <c r="C14" s="13"/>
      <c r="E14" s="470" t="s">
        <v>64</v>
      </c>
      <c r="F14" s="471"/>
      <c r="G14" s="471"/>
      <c r="H14" s="471"/>
      <c r="I14" s="471"/>
      <c r="J14" s="471"/>
      <c r="K14" s="471"/>
      <c r="L14" s="471"/>
      <c r="M14" s="471"/>
      <c r="N14" s="471"/>
      <c r="O14" s="472"/>
      <c r="P14" s="26"/>
      <c r="Q14" s="26"/>
      <c r="R14" s="26"/>
    </row>
    <row r="15" spans="1:23" ht="35.25" customHeight="1" x14ac:dyDescent="0.25">
      <c r="A15" s="17"/>
      <c r="E15" s="480" t="s">
        <v>65</v>
      </c>
      <c r="F15" s="480" t="s">
        <v>66</v>
      </c>
      <c r="G15" s="480" t="s">
        <v>67</v>
      </c>
      <c r="H15" s="480" t="s">
        <v>68</v>
      </c>
      <c r="I15" s="457" t="s">
        <v>974</v>
      </c>
      <c r="J15" s="457" t="s">
        <v>976</v>
      </c>
      <c r="K15" s="457" t="s">
        <v>975</v>
      </c>
      <c r="L15" s="457" t="s">
        <v>969</v>
      </c>
      <c r="M15" s="457" t="s">
        <v>965</v>
      </c>
      <c r="N15" s="457" t="s">
        <v>966</v>
      </c>
      <c r="O15" s="474" t="s">
        <v>967</v>
      </c>
    </row>
    <row r="16" spans="1:23" ht="17.25" customHeight="1" x14ac:dyDescent="0.25">
      <c r="A16" s="17"/>
      <c r="E16" s="480"/>
      <c r="F16" s="480"/>
      <c r="G16" s="480"/>
      <c r="H16" s="480"/>
      <c r="I16" s="459"/>
      <c r="J16" s="459"/>
      <c r="K16" s="459"/>
      <c r="L16" s="459"/>
      <c r="M16" s="459"/>
      <c r="N16" s="459"/>
      <c r="O16" s="476"/>
    </row>
    <row r="17" spans="1:18" s="50" customFormat="1" ht="4.5" hidden="1" customHeight="1" x14ac:dyDescent="0.25">
      <c r="A17" s="41"/>
      <c r="B17" s="13"/>
      <c r="C17" s="13"/>
      <c r="D17" s="41"/>
      <c r="E17" s="52" t="s">
        <v>65</v>
      </c>
      <c r="G17" s="53"/>
      <c r="H17" s="54"/>
      <c r="I17" s="54"/>
      <c r="J17" s="54"/>
      <c r="K17" s="54"/>
      <c r="L17" s="54"/>
      <c r="M17" s="52" t="s">
        <v>69</v>
      </c>
      <c r="N17" s="52" t="s">
        <v>70</v>
      </c>
      <c r="O17" s="54"/>
      <c r="P17" s="26"/>
      <c r="Q17" s="26"/>
      <c r="R17" s="26"/>
    </row>
    <row r="18" spans="1:18" x14ac:dyDescent="0.25">
      <c r="A18" s="47"/>
      <c r="E18" s="410"/>
      <c r="F18" s="394" t="str">
        <f>IF(E18="","",IF(VLOOKUP(E18,'0_Datos generales organización'!$H$53:$L$300,3,FALSE)="","",VLOOKUP(E18,'0_Datos generales organización'!$H$53:$L$300,3,FALSE)))</f>
        <v/>
      </c>
      <c r="G18" s="411"/>
      <c r="H18" s="412"/>
      <c r="I18" s="56" t="str">
        <f>IF(OR(ISNUMBER(VLOOKUP(G18,Dades!$D$118:$N$142,Dades!$F$2-2009,0)),ISTEXT(VLOOKUP(G18,Dades!$D$118:$N$142,Dades!$F$2-2009,0))),VLOOKUP(G18,Dades!$D$118:$N$142,Dades!$F$2-2009,0),"")</f>
        <v/>
      </c>
      <c r="J18" s="375" t="str">
        <f>IF(OR(ISNUMBER(VLOOKUP(G18,Dades!$Y$118:$AE$142,6,0)),ISTEXT(VLOOKUP(G18,Dades!$Y$118:$AE$142,6,0))),VLOOKUP(G18,Dades!$Y$118:$AE$142,6,0),"")</f>
        <v/>
      </c>
      <c r="K18" s="375" t="str">
        <f>IF(OR(ISNUMBER(VLOOKUP(G18,Dades!$Y$118:$AE$142,7,0)),ISTEXT(VLOOKUP(G18,Dades!$Y$118:$AE$142,7,0))),VLOOKUP(G18,Dades!$Y$118:$AE$142,7,0),"")</f>
        <v/>
      </c>
      <c r="L18" s="413"/>
      <c r="M18" s="57" t="str">
        <f t="shared" ref="M18:M39" si="0">IF(OR(F18="Sí",F18=""),N18,"")</f>
        <v/>
      </c>
      <c r="N18" s="57" t="str">
        <f>IF(AND(ISNUMBER(H18),ISNUMBER(L18)),H18*L18,IF(AND(ISNUMBER(H18),ISNUMBER(I18)),H18*(I18+J18*Dades!$D$657+K18*Dades!$D$658),""))</f>
        <v/>
      </c>
      <c r="O18" s="58">
        <f>SUM(M18:M39)</f>
        <v>0</v>
      </c>
    </row>
    <row r="19" spans="1:18" ht="15.75" customHeight="1" x14ac:dyDescent="0.25">
      <c r="A19" s="47"/>
      <c r="E19" s="410"/>
      <c r="F19" s="394" t="str">
        <f>IF(E19="","",IF(VLOOKUP(E19,'0_Datos generales organización'!$H$53:$L$300,3,FALSE)="","",VLOOKUP(E19,'0_Datos generales organización'!$H$53:$L$300,3,FALSE)))</f>
        <v/>
      </c>
      <c r="G19" s="411"/>
      <c r="H19" s="412"/>
      <c r="I19" s="56" t="str">
        <f>IF(OR(ISNUMBER(VLOOKUP(G19,Dades!$D$118:$N$142,Dades!$F$2-2009,0)),ISTEXT(VLOOKUP(G19,Dades!$D$118:$N$142,Dades!$F$2-2009,0))),VLOOKUP(G19,Dades!$D$118:$N$142,Dades!$F$2-2009,0),"")</f>
        <v/>
      </c>
      <c r="J19" s="375" t="str">
        <f>IF(OR(ISNUMBER(VLOOKUP(G19,Dades!$Y$118:$AE$142,6,0)),ISTEXT(VLOOKUP(G19,Dades!$Y$118:$AE$142,6,0))),VLOOKUP(G19,Dades!$Y$118:$AE$142,6,0),"")</f>
        <v/>
      </c>
      <c r="K19" s="375" t="str">
        <f>IF(OR(ISNUMBER(VLOOKUP(G19,Dades!$Y$118:$AE$142,7,0)),ISTEXT(VLOOKUP(G19,Dades!$Y$118:$AE$142,7,0))),VLOOKUP(G19,Dades!$Y$118:$AE$142,7,0),"")</f>
        <v/>
      </c>
      <c r="L19" s="413"/>
      <c r="M19" s="57" t="str">
        <f t="shared" si="0"/>
        <v/>
      </c>
      <c r="N19" s="57" t="str">
        <f>IF(AND(ISNUMBER(H19),ISNUMBER(L19)),H19*L19,IF(AND(ISNUMBER(H19),ISNUMBER(I19)),H19*(I19+J19*Dades!$D$657+K19*Dades!$D$658),""))</f>
        <v/>
      </c>
      <c r="O19" s="474" t="s">
        <v>968</v>
      </c>
    </row>
    <row r="20" spans="1:18" ht="15.75" customHeight="1" x14ac:dyDescent="0.25">
      <c r="A20" s="47"/>
      <c r="E20" s="410"/>
      <c r="F20" s="394" t="str">
        <f>IF(E20="","",IF(VLOOKUP(E20,'0_Datos generales organización'!$H$53:$L$300,3,FALSE)="","",VLOOKUP(E20,'0_Datos generales organización'!$H$53:$L$300,3,FALSE)))</f>
        <v/>
      </c>
      <c r="G20" s="411"/>
      <c r="H20" s="412"/>
      <c r="I20" s="56" t="str">
        <f>IF(OR(ISNUMBER(VLOOKUP(G20,Dades!$D$118:$N$142,Dades!$F$2-2009,0)),ISTEXT(VLOOKUP(G20,Dades!$D$118:$N$142,Dades!$F$2-2009,0))),VLOOKUP(G20,Dades!$D$118:$N$142,Dades!$F$2-2009,0),"")</f>
        <v/>
      </c>
      <c r="J20" s="375" t="str">
        <f>IF(OR(ISNUMBER(VLOOKUP(G20,Dades!$Y$118:$AE$142,6,0)),ISTEXT(VLOOKUP(G20,Dades!$Y$118:$AE$142,6,0))),VLOOKUP(G20,Dades!$Y$118:$AE$142,6,0),"")</f>
        <v/>
      </c>
      <c r="K20" s="375" t="str">
        <f>IF(OR(ISNUMBER(VLOOKUP(G20,Dades!$Y$118:$AE$142,7,0)),ISTEXT(VLOOKUP(G20,Dades!$Y$118:$AE$142,7,0))),VLOOKUP(G20,Dades!$Y$118:$AE$142,7,0),"")</f>
        <v/>
      </c>
      <c r="L20" s="413"/>
      <c r="M20" s="57" t="str">
        <f t="shared" si="0"/>
        <v/>
      </c>
      <c r="N20" s="57" t="str">
        <f>IF(AND(ISNUMBER(H20),ISNUMBER(L20)),H20*L20,IF(AND(ISNUMBER(H20),ISNUMBER(I20)),H20*(I20+J20*Dades!$D$657+K20*Dades!$D$658),""))</f>
        <v/>
      </c>
      <c r="O20" s="475"/>
    </row>
    <row r="21" spans="1:18" ht="15.75" customHeight="1" x14ac:dyDescent="0.25">
      <c r="A21" s="47"/>
      <c r="E21" s="410"/>
      <c r="F21" s="394" t="str">
        <f>IF(E21="","",IF(VLOOKUP(E21,'0_Datos generales organización'!$H$53:$L$300,3,FALSE)="","",VLOOKUP(E21,'0_Datos generales organización'!$H$53:$L$300,3,FALSE)))</f>
        <v/>
      </c>
      <c r="G21" s="411"/>
      <c r="H21" s="412"/>
      <c r="I21" s="56" t="str">
        <f>IF(OR(ISNUMBER(VLOOKUP(G21,Dades!$D$118:$N$142,Dades!$F$2-2009,0)),ISTEXT(VLOOKUP(G21,Dades!$D$118:$N$142,Dades!$F$2-2009,0))),VLOOKUP(G21,Dades!$D$118:$N$142,Dades!$F$2-2009,0),"")</f>
        <v/>
      </c>
      <c r="J21" s="375" t="str">
        <f>IF(OR(ISNUMBER(VLOOKUP(G21,Dades!$Y$118:$AE$142,6,0)),ISTEXT(VLOOKUP(G21,Dades!$Y$118:$AE$142,6,0))),VLOOKUP(G21,Dades!$Y$118:$AE$142,6,0),"")</f>
        <v/>
      </c>
      <c r="K21" s="375" t="str">
        <f>IF(OR(ISNUMBER(VLOOKUP(G21,Dades!$Y$118:$AE$142,7,0)),ISTEXT(VLOOKUP(G21,Dades!$Y$118:$AE$142,7,0))),VLOOKUP(G21,Dades!$Y$118:$AE$142,7,0),"")</f>
        <v/>
      </c>
      <c r="L21" s="413"/>
      <c r="M21" s="57" t="str">
        <f t="shared" si="0"/>
        <v/>
      </c>
      <c r="N21" s="57" t="str">
        <f>IF(AND(ISNUMBER(H21),ISNUMBER(L21)),H21*L21,IF(AND(ISNUMBER(H21),ISNUMBER(I21)),H21*(I21+J21*Dades!$D$657+K21*Dades!$D$658),""))</f>
        <v/>
      </c>
      <c r="O21" s="476"/>
    </row>
    <row r="22" spans="1:18" ht="15.75" customHeight="1" x14ac:dyDescent="0.25">
      <c r="A22" s="47"/>
      <c r="E22" s="410"/>
      <c r="F22" s="394" t="str">
        <f>IF(E22="","",IF(VLOOKUP(E22,'0_Datos generales organización'!$H$53:$L$300,3,FALSE)="","",VLOOKUP(E22,'0_Datos generales organización'!$H$53:$L$300,3,FALSE)))</f>
        <v/>
      </c>
      <c r="G22" s="411"/>
      <c r="H22" s="412"/>
      <c r="I22" s="56" t="str">
        <f>IF(OR(ISNUMBER(VLOOKUP(G22,Dades!$D$118:$N$142,Dades!$F$2-2009,0)),ISTEXT(VLOOKUP(G22,Dades!$D$118:$N$142,Dades!$F$2-2009,0))),VLOOKUP(G22,Dades!$D$118:$N$142,Dades!$F$2-2009,0),"")</f>
        <v/>
      </c>
      <c r="J22" s="375" t="str">
        <f>IF(OR(ISNUMBER(VLOOKUP(G22,Dades!$Y$118:$AE$142,6,0)),ISTEXT(VLOOKUP(G22,Dades!$Y$118:$AE$142,6,0))),VLOOKUP(G22,Dades!$Y$118:$AE$142,6,0),"")</f>
        <v/>
      </c>
      <c r="K22" s="375" t="str">
        <f>IF(OR(ISNUMBER(VLOOKUP(G22,Dades!$Y$118:$AE$142,7,0)),ISTEXT(VLOOKUP(G22,Dades!$Y$118:$AE$142,7,0))),VLOOKUP(G22,Dades!$Y$118:$AE$142,7,0),"")</f>
        <v/>
      </c>
      <c r="L22" s="413"/>
      <c r="M22" s="57" t="str">
        <f t="shared" si="0"/>
        <v/>
      </c>
      <c r="N22" s="57" t="str">
        <f>IF(AND(ISNUMBER(H22),ISNUMBER(L22)),H22*L22,IF(AND(ISNUMBER(H22),ISNUMBER(I22)),H22*(I22+J22*Dades!$D$657+K22*Dades!$D$658),""))</f>
        <v/>
      </c>
      <c r="O22" s="58">
        <f>SUM(N18:N39)</f>
        <v>0</v>
      </c>
    </row>
    <row r="23" spans="1:18" ht="15.75" customHeight="1" x14ac:dyDescent="0.25">
      <c r="A23" s="47"/>
      <c r="E23" s="410"/>
      <c r="F23" s="394" t="str">
        <f>IF(E23="","",IF(VLOOKUP(E23,'0_Datos generales organización'!$H$53:$L$300,3,FALSE)="","",VLOOKUP(E23,'0_Datos generales organización'!$H$53:$L$300,3,FALSE)))</f>
        <v/>
      </c>
      <c r="G23" s="411"/>
      <c r="H23" s="412"/>
      <c r="I23" s="56" t="str">
        <f>IF(OR(ISNUMBER(VLOOKUP(G23,Dades!$D$118:$N$142,Dades!$F$2-2009,0)),ISTEXT(VLOOKUP(G23,Dades!$D$118:$N$142,Dades!$F$2-2009,0))),VLOOKUP(G23,Dades!$D$118:$N$142,Dades!$F$2-2009,0),"")</f>
        <v/>
      </c>
      <c r="J23" s="375" t="str">
        <f>IF(OR(ISNUMBER(VLOOKUP(G23,Dades!$Y$118:$AE$142,6,0)),ISTEXT(VLOOKUP(G23,Dades!$Y$118:$AE$142,6,0))),VLOOKUP(G23,Dades!$Y$118:$AE$142,6,0),"")</f>
        <v/>
      </c>
      <c r="K23" s="375" t="str">
        <f>IF(OR(ISNUMBER(VLOOKUP(G23,Dades!$Y$118:$AE$142,7,0)),ISTEXT(VLOOKUP(G23,Dades!$Y$118:$AE$142,7,0))),VLOOKUP(G23,Dades!$Y$118:$AE$142,7,0),"")</f>
        <v/>
      </c>
      <c r="L23" s="413"/>
      <c r="M23" s="57" t="str">
        <f t="shared" si="0"/>
        <v/>
      </c>
      <c r="N23" s="57" t="str">
        <f>IF(AND(ISNUMBER(H23),ISNUMBER(L23)),H23*L23,IF(AND(ISNUMBER(H23),ISNUMBER(I23)),H23*(I23+J23*Dades!$D$657+K23*Dades!$D$658),""))</f>
        <v/>
      </c>
    </row>
    <row r="24" spans="1:18" ht="15.75" customHeight="1" x14ac:dyDescent="0.25">
      <c r="A24" s="47"/>
      <c r="E24" s="410"/>
      <c r="F24" s="394" t="str">
        <f>IF(E24="","",IF(VLOOKUP(E24,'0_Datos generales organización'!$H$53:$L$300,3,FALSE)="","",VLOOKUP(E24,'0_Datos generales organización'!$H$53:$L$300,3,FALSE)))</f>
        <v/>
      </c>
      <c r="G24" s="411"/>
      <c r="H24" s="412"/>
      <c r="I24" s="56" t="str">
        <f>IF(OR(ISNUMBER(VLOOKUP(G24,Dades!$D$118:$N$142,Dades!$F$2-2009,0)),ISTEXT(VLOOKUP(G24,Dades!$D$118:$N$142,Dades!$F$2-2009,0))),VLOOKUP(G24,Dades!$D$118:$N$142,Dades!$F$2-2009,0),"")</f>
        <v/>
      </c>
      <c r="J24" s="375" t="str">
        <f>IF(OR(ISNUMBER(VLOOKUP(G24,Dades!$Y$118:$AE$142,6,0)),ISTEXT(VLOOKUP(G24,Dades!$Y$118:$AE$142,6,0))),VLOOKUP(G24,Dades!$Y$118:$AE$142,6,0),"")</f>
        <v/>
      </c>
      <c r="K24" s="375" t="str">
        <f>IF(OR(ISNUMBER(VLOOKUP(G24,Dades!$Y$118:$AE$142,7,0)),ISTEXT(VLOOKUP(G24,Dades!$Y$118:$AE$142,7,0))),VLOOKUP(G24,Dades!$Y$118:$AE$142,7,0),"")</f>
        <v/>
      </c>
      <c r="L24" s="413"/>
      <c r="M24" s="57" t="str">
        <f t="shared" si="0"/>
        <v/>
      </c>
      <c r="N24" s="57" t="str">
        <f>IF(AND(ISNUMBER(H24),ISNUMBER(L24)),H24*L24,IF(AND(ISNUMBER(H24),ISNUMBER(I24)),H24*(I24+J24*Dades!$D$657+K24*Dades!$D$658),""))</f>
        <v/>
      </c>
    </row>
    <row r="25" spans="1:18" ht="15.75" customHeight="1" x14ac:dyDescent="0.25">
      <c r="A25" s="47"/>
      <c r="E25" s="410"/>
      <c r="F25" s="394" t="str">
        <f>IF(E25="","",IF(VLOOKUP(E25,'0_Datos generales organización'!$H$53:$L$300,3,FALSE)="","",VLOOKUP(E25,'0_Datos generales organización'!$H$53:$L$300,3,FALSE)))</f>
        <v/>
      </c>
      <c r="G25" s="411"/>
      <c r="H25" s="412"/>
      <c r="I25" s="56" t="str">
        <f>IF(OR(ISNUMBER(VLOOKUP(G25,Dades!$D$118:$N$142,Dades!$F$2-2009,0)),ISTEXT(VLOOKUP(G25,Dades!$D$118:$N$142,Dades!$F$2-2009,0))),VLOOKUP(G25,Dades!$D$118:$N$142,Dades!$F$2-2009,0),"")</f>
        <v/>
      </c>
      <c r="J25" s="375" t="str">
        <f>IF(OR(ISNUMBER(VLOOKUP(G25,Dades!$Y$118:$AE$142,6,0)),ISTEXT(VLOOKUP(G25,Dades!$Y$118:$AE$142,6,0))),VLOOKUP(G25,Dades!$Y$118:$AE$142,6,0),"")</f>
        <v/>
      </c>
      <c r="K25" s="375" t="str">
        <f>IF(OR(ISNUMBER(VLOOKUP(G25,Dades!$Y$118:$AE$142,7,0)),ISTEXT(VLOOKUP(G25,Dades!$Y$118:$AE$142,7,0))),VLOOKUP(G25,Dades!$Y$118:$AE$142,7,0),"")</f>
        <v/>
      </c>
      <c r="L25" s="413"/>
      <c r="M25" s="57" t="str">
        <f t="shared" si="0"/>
        <v/>
      </c>
      <c r="N25" s="57" t="str">
        <f>IF(AND(ISNUMBER(H25),ISNUMBER(L25)),H25*L25,IF(AND(ISNUMBER(H25),ISNUMBER(I25)),H25*(I25+J25*Dades!$D$657+K25*Dades!$D$658),""))</f>
        <v/>
      </c>
    </row>
    <row r="26" spans="1:18" ht="15.75" customHeight="1" x14ac:dyDescent="0.25">
      <c r="A26" s="47"/>
      <c r="E26" s="410"/>
      <c r="F26" s="394" t="str">
        <f>IF(E26="","",IF(VLOOKUP(E26,'0_Datos generales organización'!$H$53:$L$300,3,FALSE)="","",VLOOKUP(E26,'0_Datos generales organización'!$H$53:$L$300,3,FALSE)))</f>
        <v/>
      </c>
      <c r="G26" s="411"/>
      <c r="H26" s="412"/>
      <c r="I26" s="56" t="str">
        <f>IF(OR(ISNUMBER(VLOOKUP(G26,Dades!$D$118:$N$142,Dades!$F$2-2009,0)),ISTEXT(VLOOKUP(G26,Dades!$D$118:$N$142,Dades!$F$2-2009,0))),VLOOKUP(G26,Dades!$D$118:$N$142,Dades!$F$2-2009,0),"")</f>
        <v/>
      </c>
      <c r="J26" s="375" t="str">
        <f>IF(OR(ISNUMBER(VLOOKUP(G26,Dades!$Y$118:$AE$142,6,0)),ISTEXT(VLOOKUP(G26,Dades!$Y$118:$AE$142,6,0))),VLOOKUP(G26,Dades!$Y$118:$AE$142,6,0),"")</f>
        <v/>
      </c>
      <c r="K26" s="375" t="str">
        <f>IF(OR(ISNUMBER(VLOOKUP(G26,Dades!$Y$118:$AE$142,7,0)),ISTEXT(VLOOKUP(G26,Dades!$Y$118:$AE$142,7,0))),VLOOKUP(G26,Dades!$Y$118:$AE$142,7,0),"")</f>
        <v/>
      </c>
      <c r="L26" s="413"/>
      <c r="M26" s="57" t="str">
        <f t="shared" si="0"/>
        <v/>
      </c>
      <c r="N26" s="57" t="str">
        <f>IF(AND(ISNUMBER(H26),ISNUMBER(L26)),H26*L26,IF(AND(ISNUMBER(H26),ISNUMBER(I26)),H26*(I26+J26*Dades!$D$657+K26*Dades!$D$658),""))</f>
        <v/>
      </c>
    </row>
    <row r="27" spans="1:18" ht="15.75" customHeight="1" x14ac:dyDescent="0.25">
      <c r="A27" s="47"/>
      <c r="E27" s="410"/>
      <c r="F27" s="394" t="str">
        <f>IF(E27="","",IF(VLOOKUP(E27,'0_Datos generales organización'!$H$53:$L$300,3,FALSE)="","",VLOOKUP(E27,'0_Datos generales organización'!$H$53:$L$300,3,FALSE)))</f>
        <v/>
      </c>
      <c r="G27" s="411"/>
      <c r="H27" s="412"/>
      <c r="I27" s="56" t="str">
        <f>IF(OR(ISNUMBER(VLOOKUP(G27,Dades!$D$118:$N$142,Dades!$F$2-2009,0)),ISTEXT(VLOOKUP(G27,Dades!$D$118:$N$142,Dades!$F$2-2009,0))),VLOOKUP(G27,Dades!$D$118:$N$142,Dades!$F$2-2009,0),"")</f>
        <v/>
      </c>
      <c r="J27" s="375" t="str">
        <f>IF(OR(ISNUMBER(VLOOKUP(G27,Dades!$Y$118:$AE$142,6,0)),ISTEXT(VLOOKUP(G27,Dades!$Y$118:$AE$142,6,0))),VLOOKUP(G27,Dades!$Y$118:$AE$142,6,0),"")</f>
        <v/>
      </c>
      <c r="K27" s="375" t="str">
        <f>IF(OR(ISNUMBER(VLOOKUP(G27,Dades!$Y$118:$AE$142,7,0)),ISTEXT(VLOOKUP(G27,Dades!$Y$118:$AE$142,7,0))),VLOOKUP(G27,Dades!$Y$118:$AE$142,7,0),"")</f>
        <v/>
      </c>
      <c r="L27" s="413"/>
      <c r="M27" s="57" t="str">
        <f t="shared" si="0"/>
        <v/>
      </c>
      <c r="N27" s="57" t="str">
        <f>IF(AND(ISNUMBER(H27),ISNUMBER(L27)),H27*L27,IF(AND(ISNUMBER(H27),ISNUMBER(I27)),H27*(I27+J27*Dades!$D$657+K27*Dades!$D$658),""))</f>
        <v/>
      </c>
    </row>
    <row r="28" spans="1:18" ht="15.75" customHeight="1" x14ac:dyDescent="0.25">
      <c r="A28" s="47"/>
      <c r="E28" s="410"/>
      <c r="F28" s="394" t="str">
        <f>IF(E28="","",IF(VLOOKUP(E28,'0_Datos generales organización'!$H$53:$L$300,3,FALSE)="","",VLOOKUP(E28,'0_Datos generales organización'!$H$53:$L$300,3,FALSE)))</f>
        <v/>
      </c>
      <c r="G28" s="411"/>
      <c r="H28" s="412"/>
      <c r="I28" s="56" t="str">
        <f>IF(OR(ISNUMBER(VLOOKUP(G28,Dades!$D$118:$N$142,Dades!$F$2-2009,0)),ISTEXT(VLOOKUP(G28,Dades!$D$118:$N$142,Dades!$F$2-2009,0))),VLOOKUP(G28,Dades!$D$118:$N$142,Dades!$F$2-2009,0),"")</f>
        <v/>
      </c>
      <c r="J28" s="375" t="str">
        <f>IF(OR(ISNUMBER(VLOOKUP(G28,Dades!$Y$118:$AE$142,6,0)),ISTEXT(VLOOKUP(G28,Dades!$Y$118:$AE$142,6,0))),VLOOKUP(G28,Dades!$Y$118:$AE$142,6,0),"")</f>
        <v/>
      </c>
      <c r="K28" s="375" t="str">
        <f>IF(OR(ISNUMBER(VLOOKUP(G28,Dades!$Y$118:$AE$142,7,0)),ISTEXT(VLOOKUP(G28,Dades!$Y$118:$AE$142,7,0))),VLOOKUP(G28,Dades!$Y$118:$AE$142,7,0),"")</f>
        <v/>
      </c>
      <c r="L28" s="413"/>
      <c r="M28" s="57" t="str">
        <f t="shared" si="0"/>
        <v/>
      </c>
      <c r="N28" s="57" t="str">
        <f>IF(AND(ISNUMBER(H28),ISNUMBER(L28)),H28*L28,IF(AND(ISNUMBER(H28),ISNUMBER(I28)),H28*(I28+J28*Dades!$D$657+K28*Dades!$D$658),""))</f>
        <v/>
      </c>
    </row>
    <row r="29" spans="1:18" ht="15.75" customHeight="1" x14ac:dyDescent="0.25">
      <c r="A29" s="47"/>
      <c r="E29" s="410"/>
      <c r="F29" s="394" t="str">
        <f>IF(E29="","",IF(VLOOKUP(E29,'0_Datos generales organización'!$H$53:$L$300,3,FALSE)="","",VLOOKUP(E29,'0_Datos generales organización'!$H$53:$L$300,3,FALSE)))</f>
        <v/>
      </c>
      <c r="G29" s="411"/>
      <c r="H29" s="412"/>
      <c r="I29" s="56" t="str">
        <f>IF(OR(ISNUMBER(VLOOKUP(G29,Dades!$D$118:$N$142,Dades!$F$2-2009,0)),ISTEXT(VLOOKUP(G29,Dades!$D$118:$N$142,Dades!$F$2-2009,0))),VLOOKUP(G29,Dades!$D$118:$N$142,Dades!$F$2-2009,0),"")</f>
        <v/>
      </c>
      <c r="J29" s="375" t="str">
        <f>IF(OR(ISNUMBER(VLOOKUP(G29,Dades!$Y$118:$AE$142,6,0)),ISTEXT(VLOOKUP(G29,Dades!$Y$118:$AE$142,6,0))),VLOOKUP(G29,Dades!$Y$118:$AE$142,6,0),"")</f>
        <v/>
      </c>
      <c r="K29" s="375" t="str">
        <f>IF(OR(ISNUMBER(VLOOKUP(G29,Dades!$Y$118:$AE$142,7,0)),ISTEXT(VLOOKUP(G29,Dades!$Y$118:$AE$142,7,0))),VLOOKUP(G29,Dades!$Y$118:$AE$142,7,0),"")</f>
        <v/>
      </c>
      <c r="L29" s="413"/>
      <c r="M29" s="57" t="str">
        <f t="shared" si="0"/>
        <v/>
      </c>
      <c r="N29" s="57" t="str">
        <f>IF(AND(ISNUMBER(H29),ISNUMBER(L29)),H29*L29,IF(AND(ISNUMBER(H29),ISNUMBER(I29)),H29*(I29+J29*Dades!$D$657+K29*Dades!$D$658),""))</f>
        <v/>
      </c>
    </row>
    <row r="30" spans="1:18" ht="15.75" customHeight="1" x14ac:dyDescent="0.25">
      <c r="A30" s="47"/>
      <c r="E30" s="410"/>
      <c r="F30" s="394" t="str">
        <f>IF(E30="","",IF(VLOOKUP(E30,'0_Datos generales organización'!$H$53:$L$300,3,FALSE)="","",VLOOKUP(E30,'0_Datos generales organización'!$H$53:$L$300,3,FALSE)))</f>
        <v/>
      </c>
      <c r="G30" s="411"/>
      <c r="H30" s="412"/>
      <c r="I30" s="56" t="str">
        <f>IF(OR(ISNUMBER(VLOOKUP(G30,Dades!$D$118:$N$142,Dades!$F$2-2009,0)),ISTEXT(VLOOKUP(G30,Dades!$D$118:$N$142,Dades!$F$2-2009,0))),VLOOKUP(G30,Dades!$D$118:$N$142,Dades!$F$2-2009,0),"")</f>
        <v/>
      </c>
      <c r="J30" s="375" t="str">
        <f>IF(OR(ISNUMBER(VLOOKUP(G30,Dades!$Y$118:$AE$142,6,0)),ISTEXT(VLOOKUP(G30,Dades!$Y$118:$AE$142,6,0))),VLOOKUP(G30,Dades!$Y$118:$AE$142,6,0),"")</f>
        <v/>
      </c>
      <c r="K30" s="375" t="str">
        <f>IF(OR(ISNUMBER(VLOOKUP(G30,Dades!$Y$118:$AE$142,7,0)),ISTEXT(VLOOKUP(G30,Dades!$Y$118:$AE$142,7,0))),VLOOKUP(G30,Dades!$Y$118:$AE$142,7,0),"")</f>
        <v/>
      </c>
      <c r="L30" s="413"/>
      <c r="M30" s="57" t="str">
        <f t="shared" si="0"/>
        <v/>
      </c>
      <c r="N30" s="57" t="str">
        <f>IF(AND(ISNUMBER(H30),ISNUMBER(L30)),H30*L30,IF(AND(ISNUMBER(H30),ISNUMBER(I30)),H30*(I30+J30*Dades!$D$657+K30*Dades!$D$658),""))</f>
        <v/>
      </c>
    </row>
    <row r="31" spans="1:18" ht="15.75" customHeight="1" x14ac:dyDescent="0.25">
      <c r="A31" s="47"/>
      <c r="E31" s="410"/>
      <c r="F31" s="394" t="str">
        <f>IF(E31="","",IF(VLOOKUP(E31,'0_Datos generales organización'!$H$53:$L$300,3,FALSE)="","",VLOOKUP(E31,'0_Datos generales organización'!$H$53:$L$300,3,FALSE)))</f>
        <v/>
      </c>
      <c r="G31" s="411"/>
      <c r="H31" s="412"/>
      <c r="I31" s="56" t="str">
        <f>IF(OR(ISNUMBER(VLOOKUP(G31,Dades!$D$118:$N$142,Dades!$F$2-2009,0)),ISTEXT(VLOOKUP(G31,Dades!$D$118:$N$142,Dades!$F$2-2009,0))),VLOOKUP(G31,Dades!$D$118:$N$142,Dades!$F$2-2009,0),"")</f>
        <v/>
      </c>
      <c r="J31" s="375" t="str">
        <f>IF(OR(ISNUMBER(VLOOKUP(G31,Dades!$Y$118:$AE$142,6,0)),ISTEXT(VLOOKUP(G31,Dades!$Y$118:$AE$142,6,0))),VLOOKUP(G31,Dades!$Y$118:$AE$142,6,0),"")</f>
        <v/>
      </c>
      <c r="K31" s="375" t="str">
        <f>IF(OR(ISNUMBER(VLOOKUP(G31,Dades!$Y$118:$AE$142,7,0)),ISTEXT(VLOOKUP(G31,Dades!$Y$118:$AE$142,7,0))),VLOOKUP(G31,Dades!$Y$118:$AE$142,7,0),"")</f>
        <v/>
      </c>
      <c r="L31" s="413"/>
      <c r="M31" s="57" t="str">
        <f t="shared" si="0"/>
        <v/>
      </c>
      <c r="N31" s="57" t="str">
        <f>IF(AND(ISNUMBER(H31),ISNUMBER(L31)),H31*L31,IF(AND(ISNUMBER(H31),ISNUMBER(I31)),H31*(I31+J31*Dades!$D$657+K31*Dades!$D$658),""))</f>
        <v/>
      </c>
    </row>
    <row r="32" spans="1:18" ht="15.75" customHeight="1" x14ac:dyDescent="0.25">
      <c r="A32" s="47"/>
      <c r="E32" s="410"/>
      <c r="F32" s="394" t="str">
        <f>IF(E32="","",IF(VLOOKUP(E32,'0_Datos generales organización'!$H$53:$L$300,3,FALSE)="","",VLOOKUP(E32,'0_Datos generales organización'!$H$53:$L$300,3,FALSE)))</f>
        <v/>
      </c>
      <c r="G32" s="411"/>
      <c r="H32" s="412"/>
      <c r="I32" s="56" t="str">
        <f>IF(OR(ISNUMBER(VLOOKUP(G32,Dades!$D$118:$N$142,Dades!$F$2-2009,0)),ISTEXT(VLOOKUP(G32,Dades!$D$118:$N$142,Dades!$F$2-2009,0))),VLOOKUP(G32,Dades!$D$118:$N$142,Dades!$F$2-2009,0),"")</f>
        <v/>
      </c>
      <c r="J32" s="375" t="str">
        <f>IF(OR(ISNUMBER(VLOOKUP(G32,Dades!$Y$118:$AE$142,6,0)),ISTEXT(VLOOKUP(G32,Dades!$Y$118:$AE$142,6,0))),VLOOKUP(G32,Dades!$Y$118:$AE$142,6,0),"")</f>
        <v/>
      </c>
      <c r="K32" s="375" t="str">
        <f>IF(OR(ISNUMBER(VLOOKUP(G32,Dades!$Y$118:$AE$142,7,0)),ISTEXT(VLOOKUP(G32,Dades!$Y$118:$AE$142,7,0))),VLOOKUP(G32,Dades!$Y$118:$AE$142,7,0),"")</f>
        <v/>
      </c>
      <c r="L32" s="413"/>
      <c r="M32" s="57" t="str">
        <f t="shared" si="0"/>
        <v/>
      </c>
      <c r="N32" s="57" t="str">
        <f>IF(AND(ISNUMBER(H32),ISNUMBER(L32)),H32*L32,IF(AND(ISNUMBER(H32),ISNUMBER(I32)),H32*(I32+J32*Dades!$D$657+K32*Dades!$D$658),""))</f>
        <v/>
      </c>
    </row>
    <row r="33" spans="1:22" ht="15.75" customHeight="1" x14ac:dyDescent="0.25">
      <c r="A33" s="47"/>
      <c r="E33" s="410"/>
      <c r="F33" s="394" t="str">
        <f>IF(E33="","",IF(VLOOKUP(E33,'0_Datos generales organización'!$H$53:$L$300,3,FALSE)="","",VLOOKUP(E33,'0_Datos generales organización'!$H$53:$L$300,3,FALSE)))</f>
        <v/>
      </c>
      <c r="G33" s="411"/>
      <c r="H33" s="412"/>
      <c r="I33" s="56" t="str">
        <f>IF(OR(ISNUMBER(VLOOKUP(G33,Dades!$D$118:$N$142,Dades!$F$2-2009,0)),ISTEXT(VLOOKUP(G33,Dades!$D$118:$N$142,Dades!$F$2-2009,0))),VLOOKUP(G33,Dades!$D$118:$N$142,Dades!$F$2-2009,0),"")</f>
        <v/>
      </c>
      <c r="J33" s="375" t="str">
        <f>IF(OR(ISNUMBER(VLOOKUP(G33,Dades!$Y$118:$AE$142,6,0)),ISTEXT(VLOOKUP(G33,Dades!$Y$118:$AE$142,6,0))),VLOOKUP(G33,Dades!$Y$118:$AE$142,6,0),"")</f>
        <v/>
      </c>
      <c r="K33" s="375" t="str">
        <f>IF(OR(ISNUMBER(VLOOKUP(G33,Dades!$Y$118:$AE$142,7,0)),ISTEXT(VLOOKUP(G33,Dades!$Y$118:$AE$142,7,0))),VLOOKUP(G33,Dades!$Y$118:$AE$142,7,0),"")</f>
        <v/>
      </c>
      <c r="L33" s="413"/>
      <c r="M33" s="57" t="str">
        <f t="shared" si="0"/>
        <v/>
      </c>
      <c r="N33" s="57" t="str">
        <f>IF(AND(ISNUMBER(H33),ISNUMBER(L33)),H33*L33,IF(AND(ISNUMBER(H33),ISNUMBER(I33)),H33*(I33+J33*Dades!$D$657+K33*Dades!$D$658),""))</f>
        <v/>
      </c>
    </row>
    <row r="34" spans="1:22" ht="15.75" customHeight="1" x14ac:dyDescent="0.25">
      <c r="A34" s="47"/>
      <c r="E34" s="410"/>
      <c r="F34" s="394" t="str">
        <f>IF(E34="","",IF(VLOOKUP(E34,'0_Datos generales organización'!$H$53:$L$300,3,FALSE)="","",VLOOKUP(E34,'0_Datos generales organización'!$H$53:$L$300,3,FALSE)))</f>
        <v/>
      </c>
      <c r="G34" s="411"/>
      <c r="H34" s="412"/>
      <c r="I34" s="56" t="str">
        <f>IF(OR(ISNUMBER(VLOOKUP(G34,Dades!$D$118:$N$142,Dades!$F$2-2009,0)),ISTEXT(VLOOKUP(G34,Dades!$D$118:$N$142,Dades!$F$2-2009,0))),VLOOKUP(G34,Dades!$D$118:$N$142,Dades!$F$2-2009,0),"")</f>
        <v/>
      </c>
      <c r="J34" s="375" t="str">
        <f>IF(OR(ISNUMBER(VLOOKUP(G34,Dades!$Y$118:$AE$142,6,0)),ISTEXT(VLOOKUP(G34,Dades!$Y$118:$AE$142,6,0))),VLOOKUP(G34,Dades!$Y$118:$AE$142,6,0),"")</f>
        <v/>
      </c>
      <c r="K34" s="375" t="str">
        <f>IF(OR(ISNUMBER(VLOOKUP(G34,Dades!$Y$118:$AE$142,7,0)),ISTEXT(VLOOKUP(G34,Dades!$Y$118:$AE$142,7,0))),VLOOKUP(G34,Dades!$Y$118:$AE$142,7,0),"")</f>
        <v/>
      </c>
      <c r="L34" s="413"/>
      <c r="M34" s="57" t="str">
        <f t="shared" si="0"/>
        <v/>
      </c>
      <c r="N34" s="57" t="str">
        <f>IF(AND(ISNUMBER(H34),ISNUMBER(L34)),H34*L34,IF(AND(ISNUMBER(H34),ISNUMBER(I34)),H34*(I34+J34*Dades!$D$657+K34*Dades!$D$658),""))</f>
        <v/>
      </c>
    </row>
    <row r="35" spans="1:22" ht="15.75" customHeight="1" x14ac:dyDescent="0.25">
      <c r="A35" s="47"/>
      <c r="E35" s="410"/>
      <c r="F35" s="394" t="str">
        <f>IF(E35="","",IF(VLOOKUP(E35,'0_Datos generales organización'!$H$53:$L$300,3,FALSE)="","",VLOOKUP(E35,'0_Datos generales organización'!$H$53:$L$300,3,FALSE)))</f>
        <v/>
      </c>
      <c r="G35" s="411"/>
      <c r="H35" s="412"/>
      <c r="I35" s="56" t="str">
        <f>IF(OR(ISNUMBER(VLOOKUP(G35,Dades!$D$118:$N$142,Dades!$F$2-2009,0)),ISTEXT(VLOOKUP(G35,Dades!$D$118:$N$142,Dades!$F$2-2009,0))),VLOOKUP(G35,Dades!$D$118:$N$142,Dades!$F$2-2009,0),"")</f>
        <v/>
      </c>
      <c r="J35" s="375" t="str">
        <f>IF(OR(ISNUMBER(VLOOKUP(G35,Dades!$Y$118:$AE$142,6,0)),ISTEXT(VLOOKUP(G35,Dades!$Y$118:$AE$142,6,0))),VLOOKUP(G35,Dades!$Y$118:$AE$142,6,0),"")</f>
        <v/>
      </c>
      <c r="K35" s="375" t="str">
        <f>IF(OR(ISNUMBER(VLOOKUP(G35,Dades!$Y$118:$AE$142,7,0)),ISTEXT(VLOOKUP(G35,Dades!$Y$118:$AE$142,7,0))),VLOOKUP(G35,Dades!$Y$118:$AE$142,7,0),"")</f>
        <v/>
      </c>
      <c r="L35" s="413"/>
      <c r="M35" s="57" t="str">
        <f t="shared" si="0"/>
        <v/>
      </c>
      <c r="N35" s="57" t="str">
        <f>IF(AND(ISNUMBER(H35),ISNUMBER(L35)),H35*L35,IF(AND(ISNUMBER(H35),ISNUMBER(I35)),H35*(I35+J35*Dades!$D$657+K35*Dades!$D$658),""))</f>
        <v/>
      </c>
    </row>
    <row r="36" spans="1:22" ht="15.75" customHeight="1" x14ac:dyDescent="0.25">
      <c r="A36" s="47"/>
      <c r="E36" s="410"/>
      <c r="F36" s="394" t="str">
        <f>IF(E36="","",IF(VLOOKUP(E36,'0_Datos generales organización'!$H$53:$L$300,3,FALSE)="","",VLOOKUP(E36,'0_Datos generales organización'!$H$53:$L$300,3,FALSE)))</f>
        <v/>
      </c>
      <c r="G36" s="411"/>
      <c r="H36" s="412"/>
      <c r="I36" s="56" t="str">
        <f>IF(OR(ISNUMBER(VLOOKUP(G36,Dades!$D$118:$N$142,Dades!$F$2-2009,0)),ISTEXT(VLOOKUP(G36,Dades!$D$118:$N$142,Dades!$F$2-2009,0))),VLOOKUP(G36,Dades!$D$118:$N$142,Dades!$F$2-2009,0),"")</f>
        <v/>
      </c>
      <c r="J36" s="375" t="str">
        <f>IF(OR(ISNUMBER(VLOOKUP(G36,Dades!$Y$118:$AE$142,6,0)),ISTEXT(VLOOKUP(G36,Dades!$Y$118:$AE$142,6,0))),VLOOKUP(G36,Dades!$Y$118:$AE$142,6,0),"")</f>
        <v/>
      </c>
      <c r="K36" s="375" t="str">
        <f>IF(OR(ISNUMBER(VLOOKUP(G36,Dades!$Y$118:$AE$142,7,0)),ISTEXT(VLOOKUP(G36,Dades!$Y$118:$AE$142,7,0))),VLOOKUP(G36,Dades!$Y$118:$AE$142,7,0),"")</f>
        <v/>
      </c>
      <c r="L36" s="413"/>
      <c r="M36" s="57" t="str">
        <f t="shared" si="0"/>
        <v/>
      </c>
      <c r="N36" s="57" t="str">
        <f>IF(AND(ISNUMBER(H36),ISNUMBER(L36)),H36*L36,IF(AND(ISNUMBER(H36),ISNUMBER(I36)),H36*(I36+J36*Dades!$D$657+K36*Dades!$D$658),""))</f>
        <v/>
      </c>
    </row>
    <row r="37" spans="1:22" ht="15.75" customHeight="1" x14ac:dyDescent="0.25">
      <c r="A37" s="47"/>
      <c r="E37" s="410"/>
      <c r="F37" s="394" t="str">
        <f>IF(E37="","",IF(VLOOKUP(E37,'0_Datos generales organización'!$H$53:$L$300,3,FALSE)="","",VLOOKUP(E37,'0_Datos generales organización'!$H$53:$L$300,3,FALSE)))</f>
        <v/>
      </c>
      <c r="G37" s="411"/>
      <c r="H37" s="412"/>
      <c r="I37" s="56" t="str">
        <f>IF(OR(ISNUMBER(VLOOKUP(G37,Dades!$D$118:$N$142,Dades!$F$2-2009,0)),ISTEXT(VLOOKUP(G37,Dades!$D$118:$N$142,Dades!$F$2-2009,0))),VLOOKUP(G37,Dades!$D$118:$N$142,Dades!$F$2-2009,0),"")</f>
        <v/>
      </c>
      <c r="J37" s="375" t="str">
        <f>IF(OR(ISNUMBER(VLOOKUP(G37,Dades!$Y$118:$AE$142,6,0)),ISTEXT(VLOOKUP(G37,Dades!$Y$118:$AE$142,6,0))),VLOOKUP(G37,Dades!$Y$118:$AE$142,6,0),"")</f>
        <v/>
      </c>
      <c r="K37" s="375" t="str">
        <f>IF(OR(ISNUMBER(VLOOKUP(G37,Dades!$Y$118:$AE$142,7,0)),ISTEXT(VLOOKUP(G37,Dades!$Y$118:$AE$142,7,0))),VLOOKUP(G37,Dades!$Y$118:$AE$142,7,0),"")</f>
        <v/>
      </c>
      <c r="L37" s="413"/>
      <c r="M37" s="57" t="str">
        <f t="shared" si="0"/>
        <v/>
      </c>
      <c r="N37" s="57" t="str">
        <f>IF(AND(ISNUMBER(H37),ISNUMBER(L37)),H37*L37,IF(AND(ISNUMBER(H37),ISNUMBER(I37)),H37*(I37+J37*Dades!$D$657+K37*Dades!$D$658),""))</f>
        <v/>
      </c>
    </row>
    <row r="38" spans="1:22" ht="15.75" customHeight="1" x14ac:dyDescent="0.25">
      <c r="A38" s="47"/>
      <c r="E38" s="410"/>
      <c r="F38" s="394" t="str">
        <f>IF(E38="","",IF(VLOOKUP(E38,'0_Datos generales organización'!$H$53:$L$300,3,FALSE)="","",VLOOKUP(E38,'0_Datos generales organización'!$H$53:$L$300,3,FALSE)))</f>
        <v/>
      </c>
      <c r="G38" s="411"/>
      <c r="H38" s="412"/>
      <c r="I38" s="56" t="str">
        <f>IF(OR(ISNUMBER(VLOOKUP(G38,Dades!$D$118:$N$142,Dades!$F$2-2009,0)),ISTEXT(VLOOKUP(G38,Dades!$D$118:$N$142,Dades!$F$2-2009,0))),VLOOKUP(G38,Dades!$D$118:$N$142,Dades!$F$2-2009,0),"")</f>
        <v/>
      </c>
      <c r="J38" s="375" t="str">
        <f>IF(OR(ISNUMBER(VLOOKUP(G38,Dades!$Y$118:$AE$142,6,0)),ISTEXT(VLOOKUP(G38,Dades!$Y$118:$AE$142,6,0))),VLOOKUP(G38,Dades!$Y$118:$AE$142,6,0),"")</f>
        <v/>
      </c>
      <c r="K38" s="375" t="str">
        <f>IF(OR(ISNUMBER(VLOOKUP(G38,Dades!$Y$118:$AE$142,7,0)),ISTEXT(VLOOKUP(G38,Dades!$Y$118:$AE$142,7,0))),VLOOKUP(G38,Dades!$Y$118:$AE$142,7,0),"")</f>
        <v/>
      </c>
      <c r="L38" s="413"/>
      <c r="M38" s="57" t="str">
        <f t="shared" si="0"/>
        <v/>
      </c>
      <c r="N38" s="57" t="str">
        <f>IF(AND(ISNUMBER(H38),ISNUMBER(L38)),H38*L38,IF(AND(ISNUMBER(H38),ISNUMBER(I38)),H38*(I38+J38*Dades!$D$657+K38*Dades!$D$658),""))</f>
        <v/>
      </c>
    </row>
    <row r="39" spans="1:22" x14ac:dyDescent="0.25">
      <c r="A39" s="47"/>
      <c r="E39" s="410"/>
      <c r="F39" s="394" t="str">
        <f>IF(E39="","",IF(VLOOKUP(E39,'0_Datos generales organización'!$H$53:$L$300,3,FALSE)="","",VLOOKUP(E39,'0_Datos generales organización'!$H$53:$L$300,3,FALSE)))</f>
        <v/>
      </c>
      <c r="G39" s="411"/>
      <c r="H39" s="412"/>
      <c r="I39" s="56" t="str">
        <f>IF(OR(ISNUMBER(VLOOKUP(G39,Dades!$D$118:$N$142,Dades!$F$2-2009,0)),ISTEXT(VLOOKUP(G39,Dades!$D$118:$N$142,Dades!$F$2-2009,0))),VLOOKUP(G39,Dades!$D$118:$N$142,Dades!$F$2-2009,0),"")</f>
        <v/>
      </c>
      <c r="J39" s="375" t="str">
        <f>IF(OR(ISNUMBER(VLOOKUP(G39,Dades!$Y$118:$AE$142,6,0)),ISTEXT(VLOOKUP(G39,Dades!$Y$118:$AE$142,6,0))),VLOOKUP(G39,Dades!$Y$118:$AE$142,6,0),"")</f>
        <v/>
      </c>
      <c r="K39" s="375" t="str">
        <f>IF(OR(ISNUMBER(VLOOKUP(G39,Dades!$Y$118:$AE$142,7,0)),ISTEXT(VLOOKUP(G39,Dades!$Y$118:$AE$142,7,0))),VLOOKUP(G39,Dades!$Y$118:$AE$142,7,0),"")</f>
        <v/>
      </c>
      <c r="L39" s="413"/>
      <c r="M39" s="57" t="str">
        <f t="shared" si="0"/>
        <v/>
      </c>
      <c r="N39" s="57" t="str">
        <f>IF(AND(ISNUMBER(H39),ISNUMBER(L39)),H39*L39,IF(AND(ISNUMBER(H39),ISNUMBER(I39)),H39*(I39+J39*Dades!$D$657+K39*Dades!$D$658),""))</f>
        <v/>
      </c>
    </row>
    <row r="40" spans="1:22" ht="31.5" customHeight="1" x14ac:dyDescent="0.25">
      <c r="A40" s="47"/>
      <c r="C40" s="26"/>
      <c r="E40" s="473" t="s">
        <v>74</v>
      </c>
      <c r="F40" s="473"/>
      <c r="G40" s="473"/>
      <c r="H40" s="473"/>
      <c r="I40" s="473"/>
      <c r="J40" s="473"/>
      <c r="K40" s="473"/>
      <c r="L40" s="473"/>
      <c r="M40" s="473"/>
      <c r="N40" s="473"/>
      <c r="O40" s="473"/>
      <c r="P40" s="473"/>
      <c r="Q40" s="473"/>
      <c r="R40" s="473"/>
    </row>
    <row r="41" spans="1:22" s="41" customFormat="1" ht="18.75" customHeight="1" x14ac:dyDescent="0.25">
      <c r="B41" s="13"/>
      <c r="C41" s="13"/>
      <c r="D41" s="469" t="s">
        <v>75</v>
      </c>
      <c r="E41" s="469"/>
      <c r="F41" s="469"/>
      <c r="G41" s="469"/>
      <c r="H41" s="469"/>
      <c r="I41" s="469"/>
      <c r="J41" s="469"/>
      <c r="K41" s="469"/>
      <c r="L41" s="469"/>
      <c r="M41" s="469"/>
      <c r="N41" s="469"/>
      <c r="O41" s="469"/>
      <c r="P41" s="469"/>
      <c r="Q41" s="469"/>
      <c r="R41" s="469"/>
      <c r="S41" s="469"/>
      <c r="T41" s="469"/>
      <c r="U41" s="469"/>
      <c r="V41" s="469"/>
    </row>
    <row r="42" spans="1:22" ht="9.9499999999999993" customHeight="1" x14ac:dyDescent="0.3">
      <c r="D42" s="59"/>
      <c r="E42" s="59"/>
      <c r="F42" s="59"/>
      <c r="G42" s="59"/>
      <c r="H42" s="59"/>
      <c r="I42" s="59"/>
      <c r="J42" s="59"/>
      <c r="K42" s="59"/>
      <c r="L42" s="59"/>
      <c r="M42" s="59"/>
      <c r="N42" s="59"/>
      <c r="O42" s="59"/>
      <c r="P42" s="59"/>
      <c r="Q42" s="59"/>
      <c r="R42" s="59"/>
      <c r="S42" s="59"/>
    </row>
    <row r="43" spans="1:22" s="50" customFormat="1" ht="32.1" customHeight="1" x14ac:dyDescent="0.25">
      <c r="A43" s="41"/>
      <c r="B43" s="13"/>
      <c r="C43" s="13"/>
      <c r="D43" s="41"/>
      <c r="E43" s="470" t="s">
        <v>76</v>
      </c>
      <c r="F43" s="471"/>
      <c r="G43" s="471"/>
      <c r="H43" s="471"/>
      <c r="I43" s="471"/>
      <c r="J43" s="471"/>
      <c r="K43" s="471"/>
      <c r="L43" s="471"/>
      <c r="M43" s="471"/>
      <c r="N43" s="471"/>
      <c r="O43" s="471"/>
      <c r="P43" s="471"/>
      <c r="Q43" s="471"/>
      <c r="R43" s="471"/>
      <c r="S43" s="471"/>
      <c r="T43" s="471"/>
      <c r="U43" s="471"/>
      <c r="V43" s="472"/>
    </row>
    <row r="44" spans="1:22" s="50" customFormat="1" ht="24.75" customHeight="1" x14ac:dyDescent="0.25">
      <c r="A44" s="41"/>
      <c r="B44" s="13"/>
      <c r="C44" s="13"/>
      <c r="D44" s="41"/>
      <c r="E44" s="457" t="s">
        <v>991</v>
      </c>
      <c r="F44" s="457" t="s">
        <v>66</v>
      </c>
      <c r="G44" s="464" t="s">
        <v>77</v>
      </c>
      <c r="H44" s="465"/>
      <c r="I44" s="465"/>
      <c r="J44" s="465"/>
      <c r="K44" s="465"/>
      <c r="L44" s="465"/>
      <c r="M44" s="465"/>
      <c r="N44" s="465"/>
      <c r="O44" s="466"/>
      <c r="P44" s="464" t="s">
        <v>78</v>
      </c>
      <c r="Q44" s="465"/>
      <c r="R44" s="465"/>
      <c r="S44" s="465"/>
      <c r="T44" s="465"/>
      <c r="U44" s="466"/>
      <c r="V44" s="457" t="s">
        <v>985</v>
      </c>
    </row>
    <row r="45" spans="1:22" s="50" customFormat="1" ht="33.75" customHeight="1" x14ac:dyDescent="0.25">
      <c r="A45" s="385"/>
      <c r="B45" s="13"/>
      <c r="C45" s="13"/>
      <c r="D45" s="41"/>
      <c r="E45" s="458"/>
      <c r="F45" s="458"/>
      <c r="G45" s="457" t="s">
        <v>79</v>
      </c>
      <c r="H45" s="457" t="s">
        <v>80</v>
      </c>
      <c r="I45" s="457" t="s">
        <v>68</v>
      </c>
      <c r="J45" s="457" t="s">
        <v>974</v>
      </c>
      <c r="K45" s="457" t="s">
        <v>976</v>
      </c>
      <c r="L45" s="457" t="s">
        <v>975</v>
      </c>
      <c r="M45" s="457" t="s">
        <v>969</v>
      </c>
      <c r="N45" s="457" t="s">
        <v>981</v>
      </c>
      <c r="O45" s="457" t="s">
        <v>982</v>
      </c>
      <c r="P45" s="460" t="s">
        <v>81</v>
      </c>
      <c r="Q45" s="461"/>
      <c r="R45" s="457" t="s">
        <v>82</v>
      </c>
      <c r="S45" s="457" t="s">
        <v>83</v>
      </c>
      <c r="T45" s="457" t="s">
        <v>983</v>
      </c>
      <c r="U45" s="457" t="s">
        <v>984</v>
      </c>
      <c r="V45" s="458"/>
    </row>
    <row r="46" spans="1:22" s="50" customFormat="1" ht="14.25" customHeight="1" x14ac:dyDescent="0.25">
      <c r="A46" s="385"/>
      <c r="B46" s="13"/>
      <c r="C46" s="13"/>
      <c r="D46" s="41"/>
      <c r="E46" s="459"/>
      <c r="F46" s="459"/>
      <c r="G46" s="459"/>
      <c r="H46" s="459"/>
      <c r="I46" s="459"/>
      <c r="J46" s="459"/>
      <c r="K46" s="459"/>
      <c r="L46" s="459"/>
      <c r="M46" s="459"/>
      <c r="N46" s="459"/>
      <c r="O46" s="459"/>
      <c r="P46" s="462"/>
      <c r="Q46" s="463"/>
      <c r="R46" s="459"/>
      <c r="S46" s="459"/>
      <c r="T46" s="459"/>
      <c r="U46" s="459"/>
      <c r="V46" s="459"/>
    </row>
    <row r="47" spans="1:22" s="59" customFormat="1" ht="20.25" hidden="1" customHeight="1" x14ac:dyDescent="0.3">
      <c r="A47" s="386"/>
      <c r="B47" s="13"/>
      <c r="C47" s="13"/>
      <c r="D47" s="41"/>
      <c r="E47" s="52" t="s">
        <v>65</v>
      </c>
      <c r="F47" s="50"/>
      <c r="G47" s="53"/>
      <c r="H47" s="54"/>
      <c r="I47" s="54"/>
      <c r="J47" s="54"/>
      <c r="K47" s="54"/>
      <c r="L47" s="54"/>
      <c r="M47" s="52"/>
      <c r="N47" s="52" t="s">
        <v>992</v>
      </c>
      <c r="O47" s="52" t="s">
        <v>993</v>
      </c>
      <c r="P47" s="467"/>
      <c r="Q47" s="468"/>
      <c r="R47" s="52"/>
      <c r="S47" s="52"/>
      <c r="T47" s="52" t="s">
        <v>994</v>
      </c>
      <c r="U47" s="52" t="s">
        <v>995</v>
      </c>
      <c r="V47" s="52"/>
    </row>
    <row r="48" spans="1:22" s="59" customFormat="1" ht="15" customHeight="1" x14ac:dyDescent="0.3">
      <c r="A48" s="386"/>
      <c r="B48" s="13"/>
      <c r="C48" s="13"/>
      <c r="D48" s="41"/>
      <c r="E48" s="410"/>
      <c r="F48" s="394" t="str">
        <f>IF(E48="","",IF(VLOOKUP(E48,'0_Datos generales organización'!$H$53:$L$300,3,FALSE)="","",VLOOKUP(E48,'0_Datos generales organización'!$H$53:$L$300,3,FALSE)))</f>
        <v/>
      </c>
      <c r="G48" s="414"/>
      <c r="H48" s="411"/>
      <c r="I48" s="415"/>
      <c r="J48" s="56" t="str">
        <f>IF(OR(ISNUMBER(VLOOKUP(H48,Dades!$D$148:$N$166,Dades!$F$2-2009,0)),ISTEXT(VLOOKUP(H48,Dades!$D$148:$N$166,Dades!$F$2-2009,0))),VLOOKUP(H48,Dades!$D$148:$N$166,Dades!$F$2-2009,0),"")</f>
        <v/>
      </c>
      <c r="K48" s="378" t="str">
        <f>IF(OR(ISNUMBER(VLOOKUP(H48,Dades!$Y$148:$AE$166,6,0)),ISTEXT(VLOOKUP(H48,Dades!$Y$148:$AE$166,6,0))),VLOOKUP(H48,Dades!$Y$148:$AE$166,6,0),"")</f>
        <v/>
      </c>
      <c r="L48" s="378" t="str">
        <f>IF(OR(ISNUMBER(VLOOKUP(H48,Dades!$Y$148:$AE$166,7,0)),ISTEXT(VLOOKUP(H48,Dades!$Y$148:$AE$166,7,0))),VLOOKUP(H48,Dades!$Y$148:$AE$166,7,0),"")</f>
        <v/>
      </c>
      <c r="M48" s="413"/>
      <c r="N48" s="57" t="str">
        <f t="shared" ref="N48:N67" si="1">IF(OR(F48="Sí",F48=""),O48,"")</f>
        <v/>
      </c>
      <c r="O48" s="57" t="str">
        <f>IF(AND(ISNUMBER(I48),ISNUMBER(M48)),I48*M48,IF(AND(ISNUMBER(I48),ISNUMBER(J48)),I48*(J48+K48*Dades!$D$657+L48*Dades!$D$658),""))</f>
        <v/>
      </c>
      <c r="P48" s="455"/>
      <c r="Q48" s="456"/>
      <c r="R48" s="415"/>
      <c r="S48" s="416"/>
      <c r="T48" s="57" t="str">
        <f t="shared" ref="T48:T67" si="2">IF(OR(F48="Sí",F48=""),U48,"")</f>
        <v/>
      </c>
      <c r="U48" s="57" t="str">
        <f>IF(ISNUMBER(O48),"",IF(IF(ISNUMBER(R48),(R48*S48*Dades!$AP$146)/1000,0)=0,"",IF(ISNUMBER(R48),(R48*S48*Dades!$AP$146)/1000,0)))</f>
        <v/>
      </c>
      <c r="V48" s="58">
        <f>N68+T68</f>
        <v>0</v>
      </c>
    </row>
    <row r="49" spans="1:22" s="59" customFormat="1" ht="15" customHeight="1" x14ac:dyDescent="0.3">
      <c r="A49" s="386"/>
      <c r="B49" s="13"/>
      <c r="C49" s="13"/>
      <c r="D49" s="41"/>
      <c r="E49" s="410"/>
      <c r="F49" s="394" t="str">
        <f>IF(E49="","",IF(VLOOKUP(E49,'0_Datos generales organización'!$H$53:$L$300,3,FALSE)="","",VLOOKUP(E49,'0_Datos generales organización'!$H$53:$L$300,3,FALSE)))</f>
        <v/>
      </c>
      <c r="G49" s="414"/>
      <c r="H49" s="411"/>
      <c r="I49" s="415"/>
      <c r="J49" s="56" t="str">
        <f>IF(OR(ISNUMBER(VLOOKUP(H49,Dades!$D$148:$N$166,Dades!$F$2-2009,0)),ISTEXT(VLOOKUP(H49,Dades!$D$148:$N$166,Dades!$F$2-2009,0))),VLOOKUP(H49,Dades!$D$148:$N$166,Dades!$F$2-2009,0),"")</f>
        <v/>
      </c>
      <c r="K49" s="378" t="str">
        <f>IF(OR(ISNUMBER(VLOOKUP(H49,Dades!$Y$148:$AE$166,6,0)),ISTEXT(VLOOKUP(H49,Dades!$Y$148:$AE$166,6,0))),VLOOKUP(H49,Dades!$Y$148:$AE$166,6,0),"")</f>
        <v/>
      </c>
      <c r="L49" s="378" t="str">
        <f>IF(OR(ISNUMBER(VLOOKUP(H49,Dades!$Y$148:$AE$166,7,0)),ISTEXT(VLOOKUP(H49,Dades!$Y$148:$AE$166,7,0))),VLOOKUP(H49,Dades!$Y$148:$AE$166,7,0),"")</f>
        <v/>
      </c>
      <c r="M49" s="413"/>
      <c r="N49" s="57" t="str">
        <f t="shared" si="1"/>
        <v/>
      </c>
      <c r="O49" s="57" t="str">
        <f>IF(AND(ISNUMBER(I49),ISNUMBER(M49)),I49*M49,IF(AND(ISNUMBER(I49),ISNUMBER(J49)),I49*(J49+K49*Dades!$D$657+L49*Dades!$D$658),""))</f>
        <v/>
      </c>
      <c r="P49" s="455"/>
      <c r="Q49" s="456"/>
      <c r="R49" s="415"/>
      <c r="S49" s="416"/>
      <c r="T49" s="57" t="str">
        <f t="shared" si="2"/>
        <v/>
      </c>
      <c r="U49" s="57" t="str">
        <f>IF(ISNUMBER(O49),"",IF(IF(ISNUMBER(R49),(R49*S49*Dades!$AP$146)/1000,0)=0,"",IF(ISNUMBER(R49),(R49*S49*Dades!$AP$146)/1000,0)))</f>
        <v/>
      </c>
      <c r="V49" s="457" t="s">
        <v>986</v>
      </c>
    </row>
    <row r="50" spans="1:22" s="59" customFormat="1" ht="15" customHeight="1" x14ac:dyDescent="0.3">
      <c r="A50" s="386"/>
      <c r="B50" s="13"/>
      <c r="C50" s="13"/>
      <c r="D50" s="41"/>
      <c r="E50" s="410"/>
      <c r="F50" s="394" t="str">
        <f>IF(E50="","",IF(VLOOKUP(E50,'0_Datos generales organización'!$H$53:$L$300,3,FALSE)="","",VLOOKUP(E50,'0_Datos generales organización'!$H$53:$L$300,3,FALSE)))</f>
        <v/>
      </c>
      <c r="G50" s="414"/>
      <c r="H50" s="411"/>
      <c r="I50" s="415"/>
      <c r="J50" s="56" t="str">
        <f>IF(OR(ISNUMBER(VLOOKUP(H50,Dades!$D$148:$N$166,Dades!$F$2-2009,0)),ISTEXT(VLOOKUP(H50,Dades!$D$148:$N$166,Dades!$F$2-2009,0))),VLOOKUP(H50,Dades!$D$148:$N$166,Dades!$F$2-2009,0),"")</f>
        <v/>
      </c>
      <c r="K50" s="378" t="str">
        <f>IF(OR(ISNUMBER(VLOOKUP(H50,Dades!$Y$148:$AE$166,6,0)),ISTEXT(VLOOKUP(H50,Dades!$Y$148:$AE$166,6,0))),VLOOKUP(H50,Dades!$Y$148:$AE$166,6,0),"")</f>
        <v/>
      </c>
      <c r="L50" s="378" t="str">
        <f>IF(OR(ISNUMBER(VLOOKUP(H50,Dades!$Y$148:$AE$166,7,0)),ISTEXT(VLOOKUP(H50,Dades!$Y$148:$AE$166,7,0))),VLOOKUP(H50,Dades!$Y$148:$AE$166,7,0),"")</f>
        <v/>
      </c>
      <c r="M50" s="413"/>
      <c r="N50" s="57" t="str">
        <f t="shared" si="1"/>
        <v/>
      </c>
      <c r="O50" s="57" t="str">
        <f>IF(AND(ISNUMBER(I50),ISNUMBER(M50)),I50*M50,IF(AND(ISNUMBER(I50),ISNUMBER(J50)),I50*(J50+K50*Dades!$D$657+L50*Dades!$D$658),""))</f>
        <v/>
      </c>
      <c r="P50" s="455"/>
      <c r="Q50" s="456"/>
      <c r="R50" s="415"/>
      <c r="S50" s="416"/>
      <c r="T50" s="57" t="str">
        <f t="shared" si="2"/>
        <v/>
      </c>
      <c r="U50" s="57" t="str">
        <f>IF(ISNUMBER(O50),"",IF(IF(ISNUMBER(R50),(R50*S50*Dades!$AP$146)/1000,0)=0,"",IF(ISNUMBER(R50),(R50*S50*Dades!$AP$146)/1000,0)))</f>
        <v/>
      </c>
      <c r="V50" s="458"/>
    </row>
    <row r="51" spans="1:22" s="59" customFormat="1" ht="15" customHeight="1" x14ac:dyDescent="0.3">
      <c r="A51" s="386"/>
      <c r="B51" s="13"/>
      <c r="C51" s="13"/>
      <c r="D51" s="41"/>
      <c r="E51" s="410"/>
      <c r="F51" s="394" t="str">
        <f>IF(E51="","",IF(VLOOKUP(E51,'0_Datos generales organización'!$H$53:$L$300,3,FALSE)="","",VLOOKUP(E51,'0_Datos generales organización'!$H$53:$L$300,3,FALSE)))</f>
        <v/>
      </c>
      <c r="G51" s="414"/>
      <c r="H51" s="411"/>
      <c r="I51" s="415"/>
      <c r="J51" s="56" t="str">
        <f>IF(OR(ISNUMBER(VLOOKUP(H51,Dades!$D$148:$N$166,Dades!$F$2-2009,0)),ISTEXT(VLOOKUP(H51,Dades!$D$148:$N$166,Dades!$F$2-2009,0))),VLOOKUP(H51,Dades!$D$148:$N$166,Dades!$F$2-2009,0),"")</f>
        <v/>
      </c>
      <c r="K51" s="378" t="str">
        <f>IF(OR(ISNUMBER(VLOOKUP(H51,Dades!$Y$148:$AE$166,6,0)),ISTEXT(VLOOKUP(H51,Dades!$Y$148:$AE$166,6,0))),VLOOKUP(H51,Dades!$Y$148:$AE$166,6,0),"")</f>
        <v/>
      </c>
      <c r="L51" s="378" t="str">
        <f>IF(OR(ISNUMBER(VLOOKUP(H51,Dades!$Y$148:$AE$166,7,0)),ISTEXT(VLOOKUP(H51,Dades!$Y$148:$AE$166,7,0))),VLOOKUP(H51,Dades!$Y$148:$AE$166,7,0),"")</f>
        <v/>
      </c>
      <c r="M51" s="413"/>
      <c r="N51" s="57" t="str">
        <f t="shared" si="1"/>
        <v/>
      </c>
      <c r="O51" s="57" t="str">
        <f>IF(AND(ISNUMBER(I51),ISNUMBER(M51)),I51*M51,IF(AND(ISNUMBER(I51),ISNUMBER(J51)),I51*(J51+K51*Dades!$D$657+L51*Dades!$D$658),""))</f>
        <v/>
      </c>
      <c r="P51" s="455"/>
      <c r="Q51" s="456"/>
      <c r="R51" s="415"/>
      <c r="S51" s="416"/>
      <c r="T51" s="57" t="str">
        <f t="shared" si="2"/>
        <v/>
      </c>
      <c r="U51" s="57" t="str">
        <f>IF(ISNUMBER(O51),"",IF(IF(ISNUMBER(R51),(R51*S51*Dades!$AP$146)/1000,0)=0,"",IF(ISNUMBER(R51),(R51*S51*Dades!$AP$146)/1000,0)))</f>
        <v/>
      </c>
      <c r="V51" s="458"/>
    </row>
    <row r="52" spans="1:22" s="59" customFormat="1" ht="15" customHeight="1" x14ac:dyDescent="0.3">
      <c r="A52" s="386"/>
      <c r="B52" s="13"/>
      <c r="C52" s="13"/>
      <c r="D52" s="41"/>
      <c r="E52" s="410"/>
      <c r="F52" s="394" t="str">
        <f>IF(E52="","",IF(VLOOKUP(E52,'0_Datos generales organización'!$H$53:$L$300,3,FALSE)="","",VLOOKUP(E52,'0_Datos generales organización'!$H$53:$L$300,3,FALSE)))</f>
        <v/>
      </c>
      <c r="G52" s="414"/>
      <c r="H52" s="411"/>
      <c r="I52" s="415"/>
      <c r="J52" s="56" t="str">
        <f>IF(OR(ISNUMBER(VLOOKUP(H52,Dades!$D$148:$N$166,Dades!$F$2-2009,0)),ISTEXT(VLOOKUP(H52,Dades!$D$148:$N$166,Dades!$F$2-2009,0))),VLOOKUP(H52,Dades!$D$148:$N$166,Dades!$F$2-2009,0),"")</f>
        <v/>
      </c>
      <c r="K52" s="378" t="str">
        <f>IF(OR(ISNUMBER(VLOOKUP(H52,Dades!$Y$148:$AE$166,6,0)),ISTEXT(VLOOKUP(H52,Dades!$Y$148:$AE$166,6,0))),VLOOKUP(H52,Dades!$Y$148:$AE$166,6,0),"")</f>
        <v/>
      </c>
      <c r="L52" s="378" t="str">
        <f>IF(OR(ISNUMBER(VLOOKUP(H52,Dades!$Y$148:$AE$166,7,0)),ISTEXT(VLOOKUP(H52,Dades!$Y$148:$AE$166,7,0))),VLOOKUP(H52,Dades!$Y$148:$AE$166,7,0),"")</f>
        <v/>
      </c>
      <c r="M52" s="413"/>
      <c r="N52" s="57" t="str">
        <f t="shared" si="1"/>
        <v/>
      </c>
      <c r="O52" s="57" t="str">
        <f>IF(AND(ISNUMBER(I52),ISNUMBER(M52)),I52*M52,IF(AND(ISNUMBER(I52),ISNUMBER(J52)),I52*(J52+K52*Dades!$D$657+L52*Dades!$D$658),""))</f>
        <v/>
      </c>
      <c r="P52" s="455"/>
      <c r="Q52" s="456"/>
      <c r="R52" s="415"/>
      <c r="S52" s="416"/>
      <c r="T52" s="57" t="str">
        <f t="shared" si="2"/>
        <v/>
      </c>
      <c r="U52" s="57" t="str">
        <f>IF(ISNUMBER(O52),"",IF(IF(ISNUMBER(R52),(R52*S52*Dades!$AP$146)/1000,0)=0,"",IF(ISNUMBER(R52),(R52*S52*Dades!$AP$146)/1000,0)))</f>
        <v/>
      </c>
      <c r="V52" s="459"/>
    </row>
    <row r="53" spans="1:22" s="59" customFormat="1" ht="15" customHeight="1" x14ac:dyDescent="0.3">
      <c r="A53" s="386"/>
      <c r="B53" s="13"/>
      <c r="C53" s="13"/>
      <c r="D53" s="41"/>
      <c r="E53" s="410"/>
      <c r="F53" s="394" t="str">
        <f>IF(E53="","",IF(VLOOKUP(E53,'0_Datos generales organización'!$H$53:$L$300,3,FALSE)="","",VLOOKUP(E53,'0_Datos generales organización'!$H$53:$L$300,3,FALSE)))</f>
        <v/>
      </c>
      <c r="G53" s="414"/>
      <c r="H53" s="411"/>
      <c r="I53" s="415"/>
      <c r="J53" s="56" t="str">
        <f>IF(OR(ISNUMBER(VLOOKUP(H53,Dades!$D$148:$N$166,Dades!$F$2-2009,0)),ISTEXT(VLOOKUP(H53,Dades!$D$148:$N$166,Dades!$F$2-2009,0))),VLOOKUP(H53,Dades!$D$148:$N$166,Dades!$F$2-2009,0),"")</f>
        <v/>
      </c>
      <c r="K53" s="378" t="str">
        <f>IF(OR(ISNUMBER(VLOOKUP(H53,Dades!$Y$148:$AE$166,6,0)),ISTEXT(VLOOKUP(H53,Dades!$Y$148:$AE$166,6,0))),VLOOKUP(H53,Dades!$Y$148:$AE$166,6,0),"")</f>
        <v/>
      </c>
      <c r="L53" s="378" t="str">
        <f>IF(OR(ISNUMBER(VLOOKUP(H53,Dades!$Y$148:$AE$166,7,0)),ISTEXT(VLOOKUP(H53,Dades!$Y$148:$AE$166,7,0))),VLOOKUP(H53,Dades!$Y$148:$AE$166,7,0),"")</f>
        <v/>
      </c>
      <c r="M53" s="413"/>
      <c r="N53" s="57" t="str">
        <f t="shared" si="1"/>
        <v/>
      </c>
      <c r="O53" s="57" t="str">
        <f>IF(AND(ISNUMBER(I53),ISNUMBER(M53)),I53*M53,IF(AND(ISNUMBER(I53),ISNUMBER(J53)),I53*(J53+K53*Dades!$D$657+L53*Dades!$D$658),""))</f>
        <v/>
      </c>
      <c r="P53" s="455"/>
      <c r="Q53" s="456"/>
      <c r="R53" s="415"/>
      <c r="S53" s="416"/>
      <c r="T53" s="57" t="str">
        <f t="shared" si="2"/>
        <v/>
      </c>
      <c r="U53" s="57" t="str">
        <f>IF(ISNUMBER(O53),"",IF(IF(ISNUMBER(R53),(R53*S53*Dades!$AP$146)/1000,0)=0,"",IF(ISNUMBER(R53),(R53*S53*Dades!$AP$146)/1000,0)))</f>
        <v/>
      </c>
      <c r="V53" s="58">
        <f>O68+U68</f>
        <v>0</v>
      </c>
    </row>
    <row r="54" spans="1:22" s="59" customFormat="1" ht="15" customHeight="1" x14ac:dyDescent="0.3">
      <c r="A54" s="386"/>
      <c r="B54" s="13"/>
      <c r="C54" s="13"/>
      <c r="D54" s="41"/>
      <c r="E54" s="410"/>
      <c r="F54" s="394" t="str">
        <f>IF(E54="","",IF(VLOOKUP(E54,'0_Datos generales organización'!$H$53:$L$300,3,FALSE)="","",VLOOKUP(E54,'0_Datos generales organización'!$H$53:$L$300,3,FALSE)))</f>
        <v/>
      </c>
      <c r="G54" s="414"/>
      <c r="H54" s="411"/>
      <c r="I54" s="415"/>
      <c r="J54" s="56" t="str">
        <f>IF(OR(ISNUMBER(VLOOKUP(H54,Dades!$D$148:$N$166,Dades!$F$2-2009,0)),ISTEXT(VLOOKUP(H54,Dades!$D$148:$N$166,Dades!$F$2-2009,0))),VLOOKUP(H54,Dades!$D$148:$N$166,Dades!$F$2-2009,0),"")</f>
        <v/>
      </c>
      <c r="K54" s="378" t="str">
        <f>IF(OR(ISNUMBER(VLOOKUP(H54,Dades!$Y$148:$AE$166,6,0)),ISTEXT(VLOOKUP(H54,Dades!$Y$148:$AE$166,6,0))),VLOOKUP(H54,Dades!$Y$148:$AE$166,6,0),"")</f>
        <v/>
      </c>
      <c r="L54" s="378" t="str">
        <f>IF(OR(ISNUMBER(VLOOKUP(H54,Dades!$Y$148:$AE$166,7,0)),ISTEXT(VLOOKUP(H54,Dades!$Y$148:$AE$166,7,0))),VLOOKUP(H54,Dades!$Y$148:$AE$166,7,0),"")</f>
        <v/>
      </c>
      <c r="M54" s="413"/>
      <c r="N54" s="57" t="str">
        <f t="shared" si="1"/>
        <v/>
      </c>
      <c r="O54" s="57" t="str">
        <f>IF(AND(ISNUMBER(I54),ISNUMBER(M54)),I54*M54,IF(AND(ISNUMBER(I54),ISNUMBER(J54)),I54*(J54+K54*Dades!$D$657+L54*Dades!$D$658),""))</f>
        <v/>
      </c>
      <c r="P54" s="455"/>
      <c r="Q54" s="456"/>
      <c r="R54" s="415"/>
      <c r="S54" s="416"/>
      <c r="T54" s="57" t="str">
        <f t="shared" si="2"/>
        <v/>
      </c>
      <c r="U54" s="57" t="str">
        <f>IF(ISNUMBER(O54),"",IF(IF(ISNUMBER(R54),(R54*S54*Dades!$AP$146)/1000,0)=0,"",IF(ISNUMBER(R54),(R54*S54*Dades!$AP$146)/1000,0)))</f>
        <v/>
      </c>
    </row>
    <row r="55" spans="1:22" s="59" customFormat="1" ht="15" customHeight="1" x14ac:dyDescent="0.3">
      <c r="A55" s="386"/>
      <c r="B55" s="13"/>
      <c r="C55" s="13"/>
      <c r="D55" s="41"/>
      <c r="E55" s="410"/>
      <c r="F55" s="394" t="str">
        <f>IF(E55="","",IF(VLOOKUP(E55,'0_Datos generales organización'!$H$53:$L$300,3,FALSE)="","",VLOOKUP(E55,'0_Datos generales organización'!$H$53:$L$300,3,FALSE)))</f>
        <v/>
      </c>
      <c r="G55" s="414"/>
      <c r="H55" s="411"/>
      <c r="I55" s="415"/>
      <c r="J55" s="56" t="str">
        <f>IF(OR(ISNUMBER(VLOOKUP(H55,Dades!$D$148:$N$166,Dades!$F$2-2009,0)),ISTEXT(VLOOKUP(H55,Dades!$D$148:$N$166,Dades!$F$2-2009,0))),VLOOKUP(H55,Dades!$D$148:$N$166,Dades!$F$2-2009,0),"")</f>
        <v/>
      </c>
      <c r="K55" s="378" t="str">
        <f>IF(OR(ISNUMBER(VLOOKUP(H55,Dades!$Y$148:$AE$166,6,0)),ISTEXT(VLOOKUP(H55,Dades!$Y$148:$AE$166,6,0))),VLOOKUP(H55,Dades!$Y$148:$AE$166,6,0),"")</f>
        <v/>
      </c>
      <c r="L55" s="378" t="str">
        <f>IF(OR(ISNUMBER(VLOOKUP(H55,Dades!$Y$148:$AE$166,7,0)),ISTEXT(VLOOKUP(H55,Dades!$Y$148:$AE$166,7,0))),VLOOKUP(H55,Dades!$Y$148:$AE$166,7,0),"")</f>
        <v/>
      </c>
      <c r="M55" s="413"/>
      <c r="N55" s="57" t="str">
        <f t="shared" si="1"/>
        <v/>
      </c>
      <c r="O55" s="57" t="str">
        <f>IF(AND(ISNUMBER(I55),ISNUMBER(M55)),I55*M55,IF(AND(ISNUMBER(I55),ISNUMBER(J55)),I55*(J55+K55*Dades!$D$657+L55*Dades!$D$658),""))</f>
        <v/>
      </c>
      <c r="P55" s="455"/>
      <c r="Q55" s="456"/>
      <c r="R55" s="415"/>
      <c r="S55" s="416"/>
      <c r="T55" s="57" t="str">
        <f t="shared" si="2"/>
        <v/>
      </c>
      <c r="U55" s="57" t="str">
        <f>IF(ISNUMBER(O55),"",IF(IF(ISNUMBER(R55),(R55*S55*Dades!$AP$146)/1000,0)=0,"",IF(ISNUMBER(R55),(R55*S55*Dades!$AP$146)/1000,0)))</f>
        <v/>
      </c>
    </row>
    <row r="56" spans="1:22" s="59" customFormat="1" ht="15" customHeight="1" x14ac:dyDescent="0.3">
      <c r="A56" s="386"/>
      <c r="B56" s="13"/>
      <c r="C56" s="13"/>
      <c r="D56" s="41"/>
      <c r="E56" s="410"/>
      <c r="F56" s="394" t="str">
        <f>IF(E56="","",IF(VLOOKUP(E56,'0_Datos generales organización'!$H$53:$L$300,3,FALSE)="","",VLOOKUP(E56,'0_Datos generales organización'!$H$53:$L$300,3,FALSE)))</f>
        <v/>
      </c>
      <c r="G56" s="414"/>
      <c r="H56" s="411"/>
      <c r="I56" s="415"/>
      <c r="J56" s="56" t="str">
        <f>IF(OR(ISNUMBER(VLOOKUP(H56,Dades!$D$148:$N$166,Dades!$F$2-2009,0)),ISTEXT(VLOOKUP(H56,Dades!$D$148:$N$166,Dades!$F$2-2009,0))),VLOOKUP(H56,Dades!$D$148:$N$166,Dades!$F$2-2009,0),"")</f>
        <v/>
      </c>
      <c r="K56" s="378" t="str">
        <f>IF(OR(ISNUMBER(VLOOKUP(H56,Dades!$Y$148:$AE$166,6,0)),ISTEXT(VLOOKUP(H56,Dades!$Y$148:$AE$166,6,0))),VLOOKUP(H56,Dades!$Y$148:$AE$166,6,0),"")</f>
        <v/>
      </c>
      <c r="L56" s="378" t="str">
        <f>IF(OR(ISNUMBER(VLOOKUP(H56,Dades!$Y$148:$AE$166,7,0)),ISTEXT(VLOOKUP(H56,Dades!$Y$148:$AE$166,7,0))),VLOOKUP(H56,Dades!$Y$148:$AE$166,7,0),"")</f>
        <v/>
      </c>
      <c r="M56" s="413"/>
      <c r="N56" s="57" t="str">
        <f t="shared" si="1"/>
        <v/>
      </c>
      <c r="O56" s="57" t="str">
        <f>IF(AND(ISNUMBER(I56),ISNUMBER(M56)),I56*M56,IF(AND(ISNUMBER(I56),ISNUMBER(J56)),I56*(J56+K56*Dades!$D$657+L56*Dades!$D$658),""))</f>
        <v/>
      </c>
      <c r="P56" s="455"/>
      <c r="Q56" s="456"/>
      <c r="R56" s="415"/>
      <c r="S56" s="416"/>
      <c r="T56" s="57" t="str">
        <f t="shared" si="2"/>
        <v/>
      </c>
      <c r="U56" s="57" t="str">
        <f>IF(ISNUMBER(O56),"",IF(IF(ISNUMBER(R56),(R56*S56*Dades!$AP$146)/1000,0)=0,"",IF(ISNUMBER(R56),(R56*S56*Dades!$AP$146)/1000,0)))</f>
        <v/>
      </c>
    </row>
    <row r="57" spans="1:22" s="59" customFormat="1" ht="15" customHeight="1" x14ac:dyDescent="0.3">
      <c r="A57" s="386"/>
      <c r="B57" s="13"/>
      <c r="C57" s="13"/>
      <c r="D57" s="41"/>
      <c r="E57" s="410"/>
      <c r="F57" s="394" t="str">
        <f>IF(E57="","",IF(VLOOKUP(E57,'0_Datos generales organización'!$H$53:$L$300,3,FALSE)="","",VLOOKUP(E57,'0_Datos generales organización'!$H$53:$L$300,3,FALSE)))</f>
        <v/>
      </c>
      <c r="G57" s="414"/>
      <c r="H57" s="411"/>
      <c r="I57" s="415"/>
      <c r="J57" s="56" t="str">
        <f>IF(OR(ISNUMBER(VLOOKUP(H57,Dades!$D$148:$N$166,Dades!$F$2-2009,0)),ISTEXT(VLOOKUP(H57,Dades!$D$148:$N$166,Dades!$F$2-2009,0))),VLOOKUP(H57,Dades!$D$148:$N$166,Dades!$F$2-2009,0),"")</f>
        <v/>
      </c>
      <c r="K57" s="378" t="str">
        <f>IF(OR(ISNUMBER(VLOOKUP(H57,Dades!$Y$148:$AE$166,6,0)),ISTEXT(VLOOKUP(H57,Dades!$Y$148:$AE$166,6,0))),VLOOKUP(H57,Dades!$Y$148:$AE$166,6,0),"")</f>
        <v/>
      </c>
      <c r="L57" s="378" t="str">
        <f>IF(OR(ISNUMBER(VLOOKUP(H57,Dades!$Y$148:$AE$166,7,0)),ISTEXT(VLOOKUP(H57,Dades!$Y$148:$AE$166,7,0))),VLOOKUP(H57,Dades!$Y$148:$AE$166,7,0),"")</f>
        <v/>
      </c>
      <c r="M57" s="413"/>
      <c r="N57" s="57" t="str">
        <f t="shared" si="1"/>
        <v/>
      </c>
      <c r="O57" s="57" t="str">
        <f>IF(AND(ISNUMBER(I57),ISNUMBER(M57)),I57*M57,IF(AND(ISNUMBER(I57),ISNUMBER(J57)),I57*(J57+K57*Dades!$D$657+L57*Dades!$D$658),""))</f>
        <v/>
      </c>
      <c r="P57" s="455"/>
      <c r="Q57" s="456"/>
      <c r="R57" s="415"/>
      <c r="S57" s="416"/>
      <c r="T57" s="57" t="str">
        <f t="shared" si="2"/>
        <v/>
      </c>
      <c r="U57" s="57" t="str">
        <f>IF(ISNUMBER(O57),"",IF(IF(ISNUMBER(R57),(R57*S57*Dades!$AP$146)/1000,0)=0,"",IF(ISNUMBER(R57),(R57*S57*Dades!$AP$146)/1000,0)))</f>
        <v/>
      </c>
    </row>
    <row r="58" spans="1:22" s="59" customFormat="1" ht="15" customHeight="1" x14ac:dyDescent="0.3">
      <c r="A58" s="386"/>
      <c r="B58" s="13"/>
      <c r="C58" s="13"/>
      <c r="D58" s="41"/>
      <c r="E58" s="410"/>
      <c r="F58" s="394" t="str">
        <f>IF(E58="","",IF(VLOOKUP(E58,'0_Datos generales organización'!$H$53:$L$300,3,FALSE)="","",VLOOKUP(E58,'0_Datos generales organización'!$H$53:$L$300,3,FALSE)))</f>
        <v/>
      </c>
      <c r="G58" s="414"/>
      <c r="H58" s="411"/>
      <c r="I58" s="415"/>
      <c r="J58" s="56" t="str">
        <f>IF(OR(ISNUMBER(VLOOKUP(H58,Dades!$D$148:$N$166,Dades!$F$2-2009,0)),ISTEXT(VLOOKUP(H58,Dades!$D$148:$N$166,Dades!$F$2-2009,0))),VLOOKUP(H58,Dades!$D$148:$N$166,Dades!$F$2-2009,0),"")</f>
        <v/>
      </c>
      <c r="K58" s="378" t="str">
        <f>IF(OR(ISNUMBER(VLOOKUP(H58,Dades!$Y$148:$AE$166,6,0)),ISTEXT(VLOOKUP(H58,Dades!$Y$148:$AE$166,6,0))),VLOOKUP(H58,Dades!$Y$148:$AE$166,6,0),"")</f>
        <v/>
      </c>
      <c r="L58" s="378" t="str">
        <f>IF(OR(ISNUMBER(VLOOKUP(H58,Dades!$Y$148:$AE$166,7,0)),ISTEXT(VLOOKUP(H58,Dades!$Y$148:$AE$166,7,0))),VLOOKUP(H58,Dades!$Y$148:$AE$166,7,0),"")</f>
        <v/>
      </c>
      <c r="M58" s="413"/>
      <c r="N58" s="57" t="str">
        <f t="shared" si="1"/>
        <v/>
      </c>
      <c r="O58" s="57" t="str">
        <f>IF(AND(ISNUMBER(I58),ISNUMBER(M58)),I58*M58,IF(AND(ISNUMBER(I58),ISNUMBER(J58)),I58*(J58+K58*Dades!$D$657+L58*Dades!$D$658),""))</f>
        <v/>
      </c>
      <c r="P58" s="455"/>
      <c r="Q58" s="456"/>
      <c r="R58" s="415"/>
      <c r="S58" s="416"/>
      <c r="T58" s="57" t="str">
        <f t="shared" si="2"/>
        <v/>
      </c>
      <c r="U58" s="57" t="str">
        <f>IF(ISNUMBER(O58),"",IF(IF(ISNUMBER(R58),(R58*S58*Dades!$AP$146)/1000,0)=0,"",IF(ISNUMBER(R58),(R58*S58*Dades!$AP$146)/1000,0)))</f>
        <v/>
      </c>
    </row>
    <row r="59" spans="1:22" s="59" customFormat="1" ht="15" customHeight="1" x14ac:dyDescent="0.3">
      <c r="A59" s="386"/>
      <c r="B59" s="13"/>
      <c r="C59" s="13"/>
      <c r="D59" s="41"/>
      <c r="E59" s="410"/>
      <c r="F59" s="394" t="str">
        <f>IF(E59="","",IF(VLOOKUP(E59,'0_Datos generales organización'!$H$53:$L$300,3,FALSE)="","",VLOOKUP(E59,'0_Datos generales organización'!$H$53:$L$300,3,FALSE)))</f>
        <v/>
      </c>
      <c r="G59" s="414"/>
      <c r="H59" s="411"/>
      <c r="I59" s="415"/>
      <c r="J59" s="56" t="str">
        <f>IF(OR(ISNUMBER(VLOOKUP(H59,Dades!$D$148:$N$166,Dades!$F$2-2009,0)),ISTEXT(VLOOKUP(H59,Dades!$D$148:$N$166,Dades!$F$2-2009,0))),VLOOKUP(H59,Dades!$D$148:$N$166,Dades!$F$2-2009,0),"")</f>
        <v/>
      </c>
      <c r="K59" s="378" t="str">
        <f>IF(OR(ISNUMBER(VLOOKUP(H59,Dades!$Y$148:$AE$166,6,0)),ISTEXT(VLOOKUP(H59,Dades!$Y$148:$AE$166,6,0))),VLOOKUP(H59,Dades!$Y$148:$AE$166,6,0),"")</f>
        <v/>
      </c>
      <c r="L59" s="378" t="str">
        <f>IF(OR(ISNUMBER(VLOOKUP(H59,Dades!$Y$148:$AE$166,7,0)),ISTEXT(VLOOKUP(H59,Dades!$Y$148:$AE$166,7,0))),VLOOKUP(H59,Dades!$Y$148:$AE$166,7,0),"")</f>
        <v/>
      </c>
      <c r="M59" s="413"/>
      <c r="N59" s="57" t="str">
        <f t="shared" si="1"/>
        <v/>
      </c>
      <c r="O59" s="57" t="str">
        <f>IF(AND(ISNUMBER(I59),ISNUMBER(M59)),I59*M59,IF(AND(ISNUMBER(I59),ISNUMBER(J59)),I59*(J59+K59*Dades!$D$657+L59*Dades!$D$658),""))</f>
        <v/>
      </c>
      <c r="P59" s="455"/>
      <c r="Q59" s="456"/>
      <c r="R59" s="415"/>
      <c r="S59" s="416"/>
      <c r="T59" s="57" t="str">
        <f t="shared" si="2"/>
        <v/>
      </c>
      <c r="U59" s="57" t="str">
        <f>IF(ISNUMBER(O59),"",IF(IF(ISNUMBER(R59),(R59*S59*Dades!$AP$146)/1000,0)=0,"",IF(ISNUMBER(R59),(R59*S59*Dades!$AP$146)/1000,0)))</f>
        <v/>
      </c>
    </row>
    <row r="60" spans="1:22" s="59" customFormat="1" ht="15" customHeight="1" x14ac:dyDescent="0.3">
      <c r="A60" s="386"/>
      <c r="B60" s="13"/>
      <c r="C60" s="13"/>
      <c r="D60" s="41"/>
      <c r="E60" s="410"/>
      <c r="F60" s="394" t="str">
        <f>IF(E60="","",IF(VLOOKUP(E60,'0_Datos generales organización'!$H$53:$L$300,3,FALSE)="","",VLOOKUP(E60,'0_Datos generales organización'!$H$53:$L$300,3,FALSE)))</f>
        <v/>
      </c>
      <c r="G60" s="414"/>
      <c r="H60" s="411"/>
      <c r="I60" s="415"/>
      <c r="J60" s="56" t="str">
        <f>IF(OR(ISNUMBER(VLOOKUP(H60,Dades!$D$148:$N$166,Dades!$F$2-2009,0)),ISTEXT(VLOOKUP(H60,Dades!$D$148:$N$166,Dades!$F$2-2009,0))),VLOOKUP(H60,Dades!$D$148:$N$166,Dades!$F$2-2009,0),"")</f>
        <v/>
      </c>
      <c r="K60" s="378" t="str">
        <f>IF(OR(ISNUMBER(VLOOKUP(H60,Dades!$Y$148:$AE$166,6,0)),ISTEXT(VLOOKUP(H60,Dades!$Y$148:$AE$166,6,0))),VLOOKUP(H60,Dades!$Y$148:$AE$166,6,0),"")</f>
        <v/>
      </c>
      <c r="L60" s="378" t="str">
        <f>IF(OR(ISNUMBER(VLOOKUP(H60,Dades!$Y$148:$AE$166,7,0)),ISTEXT(VLOOKUP(H60,Dades!$Y$148:$AE$166,7,0))),VLOOKUP(H60,Dades!$Y$148:$AE$166,7,0),"")</f>
        <v/>
      </c>
      <c r="M60" s="413"/>
      <c r="N60" s="57" t="str">
        <f t="shared" si="1"/>
        <v/>
      </c>
      <c r="O60" s="57" t="str">
        <f>IF(AND(ISNUMBER(I60),ISNUMBER(M60)),I60*M60,IF(AND(ISNUMBER(I60),ISNUMBER(J60)),I60*(J60+K60*Dades!$D$657+L60*Dades!$D$658),""))</f>
        <v/>
      </c>
      <c r="P60" s="455"/>
      <c r="Q60" s="456"/>
      <c r="R60" s="415"/>
      <c r="S60" s="416"/>
      <c r="T60" s="57" t="str">
        <f t="shared" si="2"/>
        <v/>
      </c>
      <c r="U60" s="57" t="str">
        <f>IF(ISNUMBER(O60),"",IF(IF(ISNUMBER(R60),(R60*S60*Dades!$AP$146)/1000,0)=0,"",IF(ISNUMBER(R60),(R60*S60*Dades!$AP$146)/1000,0)))</f>
        <v/>
      </c>
    </row>
    <row r="61" spans="1:22" s="59" customFormat="1" ht="15" customHeight="1" x14ac:dyDescent="0.3">
      <c r="A61" s="386"/>
      <c r="B61" s="13"/>
      <c r="C61" s="13"/>
      <c r="D61" s="41"/>
      <c r="E61" s="410"/>
      <c r="F61" s="394" t="str">
        <f>IF(E61="","",IF(VLOOKUP(E61,'0_Datos generales organización'!$H$53:$L$300,3,FALSE)="","",VLOOKUP(E61,'0_Datos generales organización'!$H$53:$L$300,3,FALSE)))</f>
        <v/>
      </c>
      <c r="G61" s="414"/>
      <c r="H61" s="411"/>
      <c r="I61" s="415"/>
      <c r="J61" s="56" t="str">
        <f>IF(OR(ISNUMBER(VLOOKUP(H61,Dades!$D$148:$N$166,Dades!$F$2-2009,0)),ISTEXT(VLOOKUP(H61,Dades!$D$148:$N$166,Dades!$F$2-2009,0))),VLOOKUP(H61,Dades!$D$148:$N$166,Dades!$F$2-2009,0),"")</f>
        <v/>
      </c>
      <c r="K61" s="378" t="str">
        <f>IF(OR(ISNUMBER(VLOOKUP(H61,Dades!$Y$148:$AE$166,6,0)),ISTEXT(VLOOKUP(H61,Dades!$Y$148:$AE$166,6,0))),VLOOKUP(H61,Dades!$Y$148:$AE$166,6,0),"")</f>
        <v/>
      </c>
      <c r="L61" s="378" t="str">
        <f>IF(OR(ISNUMBER(VLOOKUP(H61,Dades!$Y$148:$AE$166,7,0)),ISTEXT(VLOOKUP(H61,Dades!$Y$148:$AE$166,7,0))),VLOOKUP(H61,Dades!$Y$148:$AE$166,7,0),"")</f>
        <v/>
      </c>
      <c r="M61" s="413"/>
      <c r="N61" s="57" t="str">
        <f t="shared" si="1"/>
        <v/>
      </c>
      <c r="O61" s="57" t="str">
        <f>IF(AND(ISNUMBER(I61),ISNUMBER(M61)),I61*M61,IF(AND(ISNUMBER(I61),ISNUMBER(J61)),I61*(J61+K61*Dades!$D$657+L61*Dades!$D$658),""))</f>
        <v/>
      </c>
      <c r="P61" s="455"/>
      <c r="Q61" s="456"/>
      <c r="R61" s="415"/>
      <c r="S61" s="416"/>
      <c r="T61" s="57" t="str">
        <f t="shared" si="2"/>
        <v/>
      </c>
      <c r="U61" s="57" t="str">
        <f>IF(ISNUMBER(O61),"",IF(IF(ISNUMBER(R61),(R61*S61*Dades!$AP$146)/1000,0)=0,"",IF(ISNUMBER(R61),(R61*S61*Dades!$AP$146)/1000,0)))</f>
        <v/>
      </c>
    </row>
    <row r="62" spans="1:22" s="59" customFormat="1" ht="15.75" customHeight="1" x14ac:dyDescent="0.3">
      <c r="A62" s="386"/>
      <c r="B62" s="13"/>
      <c r="C62" s="13"/>
      <c r="D62" s="41"/>
      <c r="E62" s="410"/>
      <c r="F62" s="394" t="str">
        <f>IF(E62="","",IF(VLOOKUP(E62,'0_Datos generales organización'!$H$53:$L$300,3,FALSE)="","",VLOOKUP(E62,'0_Datos generales organización'!$H$53:$L$300,3,FALSE)))</f>
        <v/>
      </c>
      <c r="G62" s="414"/>
      <c r="H62" s="411"/>
      <c r="I62" s="415"/>
      <c r="J62" s="56" t="str">
        <f>IF(OR(ISNUMBER(VLOOKUP(H62,Dades!$D$148:$N$166,Dades!$F$2-2009,0)),ISTEXT(VLOOKUP(H62,Dades!$D$148:$N$166,Dades!$F$2-2009,0))),VLOOKUP(H62,Dades!$D$148:$N$166,Dades!$F$2-2009,0),"")</f>
        <v/>
      </c>
      <c r="K62" s="378" t="str">
        <f>IF(OR(ISNUMBER(VLOOKUP(H62,Dades!$Y$148:$AE$166,6,0)),ISTEXT(VLOOKUP(H62,Dades!$Y$148:$AE$166,6,0))),VLOOKUP(H62,Dades!$Y$148:$AE$166,6,0),"")</f>
        <v/>
      </c>
      <c r="L62" s="378" t="str">
        <f>IF(OR(ISNUMBER(VLOOKUP(H62,Dades!$Y$148:$AE$166,7,0)),ISTEXT(VLOOKUP(H62,Dades!$Y$148:$AE$166,7,0))),VLOOKUP(H62,Dades!$Y$148:$AE$166,7,0),"")</f>
        <v/>
      </c>
      <c r="M62" s="413"/>
      <c r="N62" s="57" t="str">
        <f t="shared" si="1"/>
        <v/>
      </c>
      <c r="O62" s="57" t="str">
        <f>IF(AND(ISNUMBER(I62),ISNUMBER(M62)),I62*M62,IF(AND(ISNUMBER(I62),ISNUMBER(J62)),I62*(J62+K62*Dades!$D$657+L62*Dades!$D$658),""))</f>
        <v/>
      </c>
      <c r="P62" s="455"/>
      <c r="Q62" s="456"/>
      <c r="R62" s="415"/>
      <c r="S62" s="416"/>
      <c r="T62" s="57" t="str">
        <f t="shared" si="2"/>
        <v/>
      </c>
      <c r="U62" s="57" t="str">
        <f>IF(ISNUMBER(O62),"",IF(IF(ISNUMBER(R62),(R62*S62*Dades!$AP$146)/1000,0)=0,"",IF(ISNUMBER(R62),(R62*S62*Dades!$AP$146)/1000,0)))</f>
        <v/>
      </c>
    </row>
    <row r="63" spans="1:22" s="59" customFormat="1" ht="15" customHeight="1" x14ac:dyDescent="0.3">
      <c r="A63" s="386"/>
      <c r="B63" s="13"/>
      <c r="C63" s="13"/>
      <c r="D63" s="41"/>
      <c r="E63" s="410"/>
      <c r="F63" s="394" t="str">
        <f>IF(E63="","",IF(VLOOKUP(E63,'0_Datos generales organización'!$H$53:$L$300,3,FALSE)="","",VLOOKUP(E63,'0_Datos generales organización'!$H$53:$L$300,3,FALSE)))</f>
        <v/>
      </c>
      <c r="G63" s="414"/>
      <c r="H63" s="411"/>
      <c r="I63" s="415"/>
      <c r="J63" s="56" t="str">
        <f>IF(OR(ISNUMBER(VLOOKUP(H63,Dades!$D$148:$N$166,Dades!$F$2-2009,0)),ISTEXT(VLOOKUP(H63,Dades!$D$148:$N$166,Dades!$F$2-2009,0))),VLOOKUP(H63,Dades!$D$148:$N$166,Dades!$F$2-2009,0),"")</f>
        <v/>
      </c>
      <c r="K63" s="378" t="str">
        <f>IF(OR(ISNUMBER(VLOOKUP(H63,Dades!$Y$148:$AE$166,6,0)),ISTEXT(VLOOKUP(H63,Dades!$Y$148:$AE$166,6,0))),VLOOKUP(H63,Dades!$Y$148:$AE$166,6,0),"")</f>
        <v/>
      </c>
      <c r="L63" s="378" t="str">
        <f>IF(OR(ISNUMBER(VLOOKUP(H63,Dades!$Y$148:$AE$166,7,0)),ISTEXT(VLOOKUP(H63,Dades!$Y$148:$AE$166,7,0))),VLOOKUP(H63,Dades!$Y$148:$AE$166,7,0),"")</f>
        <v/>
      </c>
      <c r="M63" s="413"/>
      <c r="N63" s="57" t="str">
        <f t="shared" si="1"/>
        <v/>
      </c>
      <c r="O63" s="57" t="str">
        <f>IF(AND(ISNUMBER(I63),ISNUMBER(M63)),I63*M63,IF(AND(ISNUMBER(I63),ISNUMBER(J63)),I63*(J63+K63*Dades!$D$657+L63*Dades!$D$658),""))</f>
        <v/>
      </c>
      <c r="P63" s="455"/>
      <c r="Q63" s="456"/>
      <c r="R63" s="415"/>
      <c r="S63" s="416"/>
      <c r="T63" s="57" t="str">
        <f t="shared" si="2"/>
        <v/>
      </c>
      <c r="U63" s="57" t="str">
        <f>IF(ISNUMBER(O63),"",IF(IF(ISNUMBER(R63),(R63*S63*Dades!$AP$146)/1000,0)=0,"",IF(ISNUMBER(R63),(R63*S63*Dades!$AP$146)/1000,0)))</f>
        <v/>
      </c>
    </row>
    <row r="64" spans="1:22" s="59" customFormat="1" ht="15" customHeight="1" x14ac:dyDescent="0.3">
      <c r="A64" s="386"/>
      <c r="B64" s="13"/>
      <c r="C64" s="13"/>
      <c r="D64" s="41"/>
      <c r="E64" s="410"/>
      <c r="F64" s="394" t="str">
        <f>IF(E64="","",IF(VLOOKUP(E64,'0_Datos generales organización'!$H$53:$L$300,3,FALSE)="","",VLOOKUP(E64,'0_Datos generales organización'!$H$53:$L$300,3,FALSE)))</f>
        <v/>
      </c>
      <c r="G64" s="414"/>
      <c r="H64" s="411"/>
      <c r="I64" s="415"/>
      <c r="J64" s="56" t="str">
        <f>IF(OR(ISNUMBER(VLOOKUP(H64,Dades!$D$148:$N$166,Dades!$F$2-2009,0)),ISTEXT(VLOOKUP(H64,Dades!$D$148:$N$166,Dades!$F$2-2009,0))),VLOOKUP(H64,Dades!$D$148:$N$166,Dades!$F$2-2009,0),"")</f>
        <v/>
      </c>
      <c r="K64" s="378" t="str">
        <f>IF(OR(ISNUMBER(VLOOKUP(H64,Dades!$Y$148:$AE$166,6,0)),ISTEXT(VLOOKUP(H64,Dades!$Y$148:$AE$166,6,0))),VLOOKUP(H64,Dades!$Y$148:$AE$166,6,0),"")</f>
        <v/>
      </c>
      <c r="L64" s="378" t="str">
        <f>IF(OR(ISNUMBER(VLOOKUP(H64,Dades!$Y$148:$AE$166,7,0)),ISTEXT(VLOOKUP(H64,Dades!$Y$148:$AE$166,7,0))),VLOOKUP(H64,Dades!$Y$148:$AE$166,7,0),"")</f>
        <v/>
      </c>
      <c r="M64" s="413"/>
      <c r="N64" s="57" t="str">
        <f t="shared" si="1"/>
        <v/>
      </c>
      <c r="O64" s="57" t="str">
        <f>IF(AND(ISNUMBER(I64),ISNUMBER(M64)),I64*M64,IF(AND(ISNUMBER(I64),ISNUMBER(J64)),I64*(J64+K64*Dades!$D$657+L64*Dades!$D$658),""))</f>
        <v/>
      </c>
      <c r="P64" s="455"/>
      <c r="Q64" s="456"/>
      <c r="R64" s="415"/>
      <c r="S64" s="416"/>
      <c r="T64" s="57" t="str">
        <f t="shared" si="2"/>
        <v/>
      </c>
      <c r="U64" s="57" t="str">
        <f>IF(ISNUMBER(O64),"",IF(IF(ISNUMBER(R64),(R64*S64*Dades!$AP$146)/1000,0)=0,"",IF(ISNUMBER(R64),(R64*S64*Dades!$AP$146)/1000,0)))</f>
        <v/>
      </c>
    </row>
    <row r="65" spans="1:22" s="59" customFormat="1" ht="13.5" customHeight="1" x14ac:dyDescent="0.3">
      <c r="A65" s="386"/>
      <c r="B65" s="13"/>
      <c r="C65" s="13"/>
      <c r="D65" s="41"/>
      <c r="E65" s="410"/>
      <c r="F65" s="394" t="str">
        <f>IF(E65="","",IF(VLOOKUP(E65,'0_Datos generales organización'!$H$53:$L$300,3,FALSE)="","",VLOOKUP(E65,'0_Datos generales organización'!$H$53:$L$300,3,FALSE)))</f>
        <v/>
      </c>
      <c r="G65" s="414"/>
      <c r="H65" s="411"/>
      <c r="I65" s="415"/>
      <c r="J65" s="56" t="str">
        <f>IF(OR(ISNUMBER(VLOOKUP(H65,Dades!$D$148:$N$166,Dades!$F$2-2009,0)),ISTEXT(VLOOKUP(H65,Dades!$D$148:$N$166,Dades!$F$2-2009,0))),VLOOKUP(H65,Dades!$D$148:$N$166,Dades!$F$2-2009,0),"")</f>
        <v/>
      </c>
      <c r="K65" s="378" t="str">
        <f>IF(OR(ISNUMBER(VLOOKUP(H65,Dades!$Y$148:$AE$166,6,0)),ISTEXT(VLOOKUP(H65,Dades!$Y$148:$AE$166,6,0))),VLOOKUP(H65,Dades!$Y$148:$AE$166,6,0),"")</f>
        <v/>
      </c>
      <c r="L65" s="378" t="str">
        <f>IF(OR(ISNUMBER(VLOOKUP(H65,Dades!$Y$148:$AE$166,7,0)),ISTEXT(VLOOKUP(H65,Dades!$Y$148:$AE$166,7,0))),VLOOKUP(H65,Dades!$Y$148:$AE$166,7,0),"")</f>
        <v/>
      </c>
      <c r="M65" s="413"/>
      <c r="N65" s="57" t="str">
        <f t="shared" si="1"/>
        <v/>
      </c>
      <c r="O65" s="57" t="str">
        <f>IF(AND(ISNUMBER(I65),ISNUMBER(M65)),I65*M65,IF(AND(ISNUMBER(I65),ISNUMBER(J65)),I65*(J65+K65*Dades!$D$657+L65*Dades!$D$658),""))</f>
        <v/>
      </c>
      <c r="P65" s="455"/>
      <c r="Q65" s="456"/>
      <c r="R65" s="415"/>
      <c r="S65" s="416"/>
      <c r="T65" s="57" t="str">
        <f t="shared" si="2"/>
        <v/>
      </c>
      <c r="U65" s="57" t="str">
        <f>IF(ISNUMBER(O65),"",IF(IF(ISNUMBER(R65),(R65*S65*Dades!$AP$146)/1000,0)=0,"",IF(ISNUMBER(R65),(R65*S65*Dades!$AP$146)/1000,0)))</f>
        <v/>
      </c>
    </row>
    <row r="66" spans="1:22" s="59" customFormat="1" ht="16.5" x14ac:dyDescent="0.3">
      <c r="A66" s="386"/>
      <c r="B66" s="13"/>
      <c r="C66" s="13"/>
      <c r="D66" s="41"/>
      <c r="E66" s="410"/>
      <c r="F66" s="394" t="str">
        <f>IF(E66="","",IF(VLOOKUP(E66,'0_Datos generales organización'!$H$53:$L$300,3,FALSE)="","",VLOOKUP(E66,'0_Datos generales organización'!$H$53:$L$300,3,FALSE)))</f>
        <v/>
      </c>
      <c r="G66" s="414"/>
      <c r="H66" s="411"/>
      <c r="I66" s="415"/>
      <c r="J66" s="56" t="str">
        <f>IF(OR(ISNUMBER(VLOOKUP(H66,Dades!$D$148:$N$166,Dades!$F$2-2009,0)),ISTEXT(VLOOKUP(H66,Dades!$D$148:$N$166,Dades!$F$2-2009,0))),VLOOKUP(H66,Dades!$D$148:$N$166,Dades!$F$2-2009,0),"")</f>
        <v/>
      </c>
      <c r="K66" s="378" t="str">
        <f>IF(OR(ISNUMBER(VLOOKUP(H66,Dades!$Y$148:$AE$166,6,0)),ISTEXT(VLOOKUP(H66,Dades!$Y$148:$AE$166,6,0))),VLOOKUP(H66,Dades!$Y$148:$AE$166,6,0),"")</f>
        <v/>
      </c>
      <c r="L66" s="378" t="str">
        <f>IF(OR(ISNUMBER(VLOOKUP(H66,Dades!$Y$148:$AE$166,7,0)),ISTEXT(VLOOKUP(H66,Dades!$Y$148:$AE$166,7,0))),VLOOKUP(H66,Dades!$Y$148:$AE$166,7,0),"")</f>
        <v/>
      </c>
      <c r="M66" s="413"/>
      <c r="N66" s="57" t="str">
        <f t="shared" si="1"/>
        <v/>
      </c>
      <c r="O66" s="57" t="str">
        <f>IF(AND(ISNUMBER(I66),ISNUMBER(M66)),I66*M66,IF(AND(ISNUMBER(I66),ISNUMBER(J66)),I66*(J66+K66*Dades!$D$657+L66*Dades!$D$658),""))</f>
        <v/>
      </c>
      <c r="P66" s="455"/>
      <c r="Q66" s="456"/>
      <c r="R66" s="415"/>
      <c r="S66" s="416"/>
      <c r="T66" s="57" t="str">
        <f t="shared" si="2"/>
        <v/>
      </c>
      <c r="U66" s="57" t="str">
        <f>IF(ISNUMBER(O66),"",IF(IF(ISNUMBER(R66),(R66*S66*Dades!$AP$146)/1000,0)=0,"",IF(ISNUMBER(R66),(R66*S66*Dades!$AP$146)/1000,0)))</f>
        <v/>
      </c>
    </row>
    <row r="67" spans="1:22" ht="16.5" x14ac:dyDescent="0.3">
      <c r="A67" s="385"/>
      <c r="D67" s="41"/>
      <c r="E67" s="410"/>
      <c r="F67" s="394" t="str">
        <f>IF(E67="","",IF(VLOOKUP(E67,'0_Datos generales organización'!$H$53:$L$300,3,FALSE)="","",VLOOKUP(E67,'0_Datos generales organización'!$H$53:$L$300,3,FALSE)))</f>
        <v/>
      </c>
      <c r="G67" s="414"/>
      <c r="H67" s="411"/>
      <c r="I67" s="415"/>
      <c r="J67" s="56" t="str">
        <f>IF(OR(ISNUMBER(VLOOKUP(H67,Dades!$D$148:$N$166,Dades!$F$2-2009,0)),ISTEXT(VLOOKUP(H67,Dades!$D$148:$N$166,Dades!$F$2-2009,0))),VLOOKUP(H67,Dades!$D$148:$N$166,Dades!$F$2-2009,0),"")</f>
        <v/>
      </c>
      <c r="K67" s="378" t="str">
        <f>IF(OR(ISNUMBER(VLOOKUP(H67,Dades!$Y$148:$AE$166,6,0)),ISTEXT(VLOOKUP(H67,Dades!$Y$148:$AE$166,6,0))),VLOOKUP(H67,Dades!$Y$148:$AE$166,6,0),"")</f>
        <v/>
      </c>
      <c r="L67" s="378" t="str">
        <f>IF(OR(ISNUMBER(VLOOKUP(H67,Dades!$Y$148:$AE$166,7,0)),ISTEXT(VLOOKUP(H67,Dades!$Y$148:$AE$166,7,0))),VLOOKUP(H67,Dades!$Y$148:$AE$166,7,0),"")</f>
        <v/>
      </c>
      <c r="M67" s="413"/>
      <c r="N67" s="57" t="str">
        <f t="shared" si="1"/>
        <v/>
      </c>
      <c r="O67" s="57" t="str">
        <f>IF(AND(ISNUMBER(I67),ISNUMBER(M67)),I67*M67,IF(AND(ISNUMBER(I67),ISNUMBER(J67)),I67*(J67+K67*Dades!$D$657+L67*Dades!$D$658),""))</f>
        <v/>
      </c>
      <c r="P67" s="455"/>
      <c r="Q67" s="456"/>
      <c r="R67" s="415"/>
      <c r="S67" s="416"/>
      <c r="T67" s="57" t="str">
        <f t="shared" si="2"/>
        <v/>
      </c>
      <c r="U67" s="57" t="str">
        <f>IF(ISNUMBER(O67),"",IF(IF(ISNUMBER(R67),(R67*S67*Dades!$AP$146)/1000,0)=0,"",IF(ISNUMBER(R67),(R67*S67*Dades!$AP$146)/1000,0)))</f>
        <v/>
      </c>
      <c r="V67" s="59"/>
    </row>
    <row r="68" spans="1:22" ht="18" customHeight="1" x14ac:dyDescent="0.25">
      <c r="A68" s="385"/>
      <c r="E68" s="384"/>
      <c r="F68" s="41"/>
      <c r="G68" s="5"/>
      <c r="H68" s="60"/>
      <c r="N68" s="61">
        <f>SUM(N48:N67)</f>
        <v>0</v>
      </c>
      <c r="O68" s="61">
        <f>SUM(O48:O67)</f>
        <v>0</v>
      </c>
      <c r="T68" s="61">
        <f>SUM(T48:T67)</f>
        <v>0</v>
      </c>
      <c r="U68" s="61">
        <f>SUM(U48:U67)</f>
        <v>0</v>
      </c>
    </row>
    <row r="69" spans="1:22" x14ac:dyDescent="0.25">
      <c r="A69" s="385"/>
      <c r="E69" s="62"/>
    </row>
    <row r="70" spans="1:22" x14ac:dyDescent="0.25">
      <c r="A70" s="385"/>
    </row>
    <row r="71" spans="1:22" x14ac:dyDescent="0.25">
      <c r="A71" s="385"/>
    </row>
    <row r="72" spans="1:22" ht="15" customHeight="1" x14ac:dyDescent="0.25">
      <c r="A72" s="385"/>
    </row>
    <row r="73" spans="1:22" x14ac:dyDescent="0.25">
      <c r="A73" s="385"/>
    </row>
    <row r="74" spans="1:22" x14ac:dyDescent="0.25">
      <c r="A74" s="385"/>
    </row>
    <row r="75" spans="1:22" ht="16.5" customHeight="1" x14ac:dyDescent="0.25"/>
    <row r="80" spans="1:22" ht="15" customHeight="1" x14ac:dyDescent="0.25"/>
    <row r="82" spans="6:18" ht="15" customHeight="1" x14ac:dyDescent="0.25"/>
    <row r="85" spans="6:18" ht="15" customHeight="1" x14ac:dyDescent="0.25"/>
    <row r="88" spans="6:18" x14ac:dyDescent="0.25">
      <c r="F88" s="63"/>
      <c r="G88" s="63"/>
      <c r="I88" s="63"/>
      <c r="J88" s="63"/>
      <c r="K88" s="63"/>
      <c r="L88" s="63"/>
      <c r="M88" s="63"/>
      <c r="N88" s="63"/>
      <c r="O88" s="63"/>
      <c r="P88" s="63"/>
      <c r="Q88" s="63"/>
      <c r="R88" s="63"/>
    </row>
    <row r="90" spans="6:18" hidden="1" x14ac:dyDescent="0.25"/>
    <row r="91" spans="6:18" hidden="1" x14ac:dyDescent="0.25">
      <c r="O91" s="64">
        <f>O18</f>
        <v>0</v>
      </c>
    </row>
    <row r="92" spans="6:18" hidden="1" x14ac:dyDescent="0.25">
      <c r="O92" s="64">
        <f>V53</f>
        <v>0</v>
      </c>
    </row>
    <row r="150" spans="6:18" ht="15" customHeight="1" x14ac:dyDescent="0.25"/>
    <row r="152" spans="6:18" ht="16.5" x14ac:dyDescent="0.25">
      <c r="F152" s="65"/>
      <c r="G152" s="65"/>
      <c r="H152" s="65"/>
      <c r="I152" s="65"/>
      <c r="J152" s="65"/>
      <c r="K152" s="65"/>
      <c r="L152" s="65"/>
      <c r="M152" s="65"/>
      <c r="N152" s="65"/>
      <c r="O152" s="65"/>
      <c r="P152" s="65"/>
      <c r="Q152" s="65"/>
      <c r="R152" s="65"/>
    </row>
    <row r="153" spans="6:18" ht="16.5" x14ac:dyDescent="0.25">
      <c r="F153" s="65"/>
      <c r="G153" s="65"/>
      <c r="H153" s="65"/>
      <c r="I153" s="65"/>
      <c r="J153" s="65"/>
      <c r="K153" s="65"/>
      <c r="L153" s="65"/>
      <c r="M153" s="65"/>
      <c r="N153" s="65"/>
      <c r="O153" s="65"/>
      <c r="P153" s="65"/>
      <c r="Q153" s="65"/>
      <c r="R153" s="65"/>
    </row>
  </sheetData>
  <sheetProtection sheet="1" objects="1" scenarios="1"/>
  <mergeCells count="62">
    <mergeCell ref="O19:O21"/>
    <mergeCell ref="E3:R4"/>
    <mergeCell ref="E7:R8"/>
    <mergeCell ref="E11:R11"/>
    <mergeCell ref="E15:E16"/>
    <mergeCell ref="F15:F16"/>
    <mergeCell ref="G15:G16"/>
    <mergeCell ref="H15:H16"/>
    <mergeCell ref="K15:K16"/>
    <mergeCell ref="L15:L16"/>
    <mergeCell ref="M15:M16"/>
    <mergeCell ref="I15:I16"/>
    <mergeCell ref="J15:J16"/>
    <mergeCell ref="E14:O14"/>
    <mergeCell ref="N15:N16"/>
    <mergeCell ref="O15:O16"/>
    <mergeCell ref="V49:V52"/>
    <mergeCell ref="P47:Q47"/>
    <mergeCell ref="C1:W1"/>
    <mergeCell ref="D12:V12"/>
    <mergeCell ref="D41:V41"/>
    <mergeCell ref="E43:V43"/>
    <mergeCell ref="P44:U44"/>
    <mergeCell ref="V44:V46"/>
    <mergeCell ref="E40:R40"/>
    <mergeCell ref="G45:G46"/>
    <mergeCell ref="J45:J46"/>
    <mergeCell ref="K45:K46"/>
    <mergeCell ref="L45:L46"/>
    <mergeCell ref="R45:R46"/>
    <mergeCell ref="N45:N46"/>
    <mergeCell ref="M45:M46"/>
    <mergeCell ref="E44:E46"/>
    <mergeCell ref="P45:Q46"/>
    <mergeCell ref="U45:U46"/>
    <mergeCell ref="F44:F46"/>
    <mergeCell ref="G44:O44"/>
    <mergeCell ref="I45:I46"/>
    <mergeCell ref="H45:H46"/>
    <mergeCell ref="O45:O46"/>
    <mergeCell ref="T45:T46"/>
    <mergeCell ref="S45:S46"/>
    <mergeCell ref="P48:Q48"/>
    <mergeCell ref="P49:Q49"/>
    <mergeCell ref="P50:Q50"/>
    <mergeCell ref="P51:Q51"/>
    <mergeCell ref="P52:Q52"/>
    <mergeCell ref="P53:Q53"/>
    <mergeCell ref="P54:Q54"/>
    <mergeCell ref="P55:Q55"/>
    <mergeCell ref="P56:Q56"/>
    <mergeCell ref="P57:Q57"/>
    <mergeCell ref="P58:Q58"/>
    <mergeCell ref="P59:Q59"/>
    <mergeCell ref="P60:Q60"/>
    <mergeCell ref="P61:Q61"/>
    <mergeCell ref="P62:Q62"/>
    <mergeCell ref="P63:Q63"/>
    <mergeCell ref="P64:Q64"/>
    <mergeCell ref="P65:Q65"/>
    <mergeCell ref="P66:Q66"/>
    <mergeCell ref="P67:Q67"/>
  </mergeCells>
  <dataValidations count="5">
    <dataValidation type="decimal" operator="greaterThan" allowBlank="1" showInputMessage="1" showErrorMessage="1" sqref="H18:H39 I48:I67">
      <formula1>0</formula1>
      <formula2>0</formula2>
    </dataValidation>
    <dataValidation type="decimal" allowBlank="1" showInputMessage="1" showErrorMessage="1" sqref="M48:M67 L18:L39">
      <formula1>0</formula1>
      <formula2>10</formula2>
    </dataValidation>
    <dataValidation type="decimal" allowBlank="1" showInputMessage="1" showErrorMessage="1" sqref="R48:R67">
      <formula1>0</formula1>
      <formula2>100000000</formula2>
    </dataValidation>
    <dataValidation type="decimal" allowBlank="1" showInputMessage="1" showErrorMessage="1" sqref="S48:S67">
      <formula1>0</formula1>
      <formula2>500</formula2>
    </dataValidation>
    <dataValidation type="custom" allowBlank="1" showInputMessage="1" showErrorMessage="1" error="El valor queda fuera del rango" sqref="R68">
      <formula1>IF(AND(#REF!&lt;=#REF!,#REF!&gt;=#REF!),#REF!,"El valor queda fuera del rango")</formula1>
      <formula2>0</formula2>
    </dataValidation>
  </dataValidations>
  <hyperlinks>
    <hyperlink ref="A3" location="'0_Datos generales organización'!A1" display="0. Datos de la organización"/>
    <hyperlink ref="A5" location="'2_Fluorados'!A1" display="2. HC Alcance 1: Fugas fluorados"/>
    <hyperlink ref="A6" location="'3_Emisiones proceso'!A1" display="3. HC Alcance 1: Emisiones proceso"/>
    <hyperlink ref="A7" location="'4.1_Electricidad Illes Balears'!A1" display="4.1 HC 2: Electricidad I. Balears"/>
    <hyperlink ref="A8" location="'4.2_Electricidad España'!A1" display="4.2 HC 2: Electricidad España"/>
    <hyperlink ref="A11" location="'5_Información adicional'!A1" display="5. Inf. adicional: renovables"/>
    <hyperlink ref="A12" location="'6.1_Resultados Illes Balears'!A1" display="6.1 Informe final: Resultados I. Balears"/>
    <hyperlink ref="A13" location="'6.2_Resultados España'!A1" display="6.2 Informe final: Resultados España"/>
  </hyperlinks>
  <pageMargins left="0.74791666666666701" right="0.74791666666666701" top="0.98402777777777795" bottom="0.98402777777777795" header="0.51180555555555496" footer="0.51180555555555496"/>
  <pageSetup paperSize="9" scale="47" firstPageNumber="0" orientation="portrait"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INDIRECT("Lista_Comb_fósiles_fijos_"&amp;Dades!$F$2)</xm:f>
          </x14:formula1>
          <x14:formula2>
            <xm:f>0</xm:f>
          </x14:formula2>
          <xm:sqref>G18:G39</xm:sqref>
        </x14:dataValidation>
        <x14:dataValidation type="list" operator="equal" allowBlank="1" showInputMessage="1" showErrorMessage="1">
          <x14:formula1>
            <xm:f>INDIRECT("Lista_Comb_fósiles_vehículos_"&amp;Dades!$F$2)</xm:f>
          </x14:formula1>
          <xm:sqref>H48:H67</xm:sqref>
        </x14:dataValidation>
        <x14:dataValidation type="list" allowBlank="1" showInputMessage="1" showErrorMessage="1">
          <x14:formula1>
            <xm:f>'0_Datos generales organización'!$H$52:$H$302</xm:f>
          </x14:formula1>
          <xm:sqref>E18:E39 E48:E67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AMK99"/>
  <sheetViews>
    <sheetView showRowColHeaders="0" zoomScaleNormal="100" workbookViewId="0">
      <pane xSplit="1" topLeftCell="B1" activePane="topRight" state="frozen"/>
      <selection pane="topRight" activeCell="C1" sqref="C1:R1"/>
    </sheetView>
  </sheetViews>
  <sheetFormatPr baseColWidth="10" defaultColWidth="9.140625" defaultRowHeight="16.5" x14ac:dyDescent="0.3"/>
  <cols>
    <col min="1" max="1" width="31.5703125" style="41" customWidth="1"/>
    <col min="2" max="2" width="1.85546875" style="13" customWidth="1"/>
    <col min="3" max="3" width="1" style="13" customWidth="1"/>
    <col min="4" max="4" width="1.5703125" style="2" customWidth="1"/>
    <col min="5" max="5" width="24.7109375" style="2" customWidth="1"/>
    <col min="6" max="7" width="21.7109375" style="2" customWidth="1"/>
    <col min="8" max="8" width="10.85546875" style="2" customWidth="1"/>
    <col min="9" max="9" width="14" style="2" customWidth="1"/>
    <col min="10" max="10" width="11.7109375" style="2" customWidth="1"/>
    <col min="11" max="11" width="33.7109375" style="66" customWidth="1"/>
    <col min="12" max="12" width="23.42578125" style="2" customWidth="1"/>
    <col min="13" max="13" width="10.28515625" style="2" customWidth="1"/>
    <col min="14" max="14" width="14" style="2" customWidth="1"/>
    <col min="15" max="16" width="17" style="2" customWidth="1"/>
    <col min="17" max="17" width="19.42578125" style="2" customWidth="1"/>
    <col min="18" max="18" width="3.5703125" style="2" customWidth="1"/>
    <col min="19" max="19" width="11.85546875" style="2" customWidth="1"/>
    <col min="20" max="1025" width="11.42578125" style="2"/>
  </cols>
  <sheetData>
    <row r="1" spans="1:31" s="26" customFormat="1" ht="39.4" customHeight="1" x14ac:dyDescent="0.2">
      <c r="A1" s="41"/>
      <c r="B1" s="14"/>
      <c r="C1" s="438" t="s">
        <v>87</v>
      </c>
      <c r="D1" s="438"/>
      <c r="E1" s="438"/>
      <c r="F1" s="438"/>
      <c r="G1" s="438"/>
      <c r="H1" s="438"/>
      <c r="I1" s="438"/>
      <c r="J1" s="438"/>
      <c r="K1" s="438"/>
      <c r="L1" s="438"/>
      <c r="M1" s="438"/>
      <c r="N1" s="438"/>
      <c r="O1" s="438"/>
      <c r="P1" s="438"/>
      <c r="Q1" s="438"/>
      <c r="R1" s="438"/>
      <c r="S1" s="27"/>
    </row>
    <row r="2" spans="1:31" s="26" customFormat="1" ht="39.4" customHeight="1" x14ac:dyDescent="0.25">
      <c r="A2" s="41"/>
      <c r="B2" s="14"/>
      <c r="C2" s="13"/>
      <c r="K2" s="27"/>
      <c r="L2" s="27"/>
      <c r="M2" s="27"/>
      <c r="N2" s="27"/>
      <c r="O2" s="27"/>
      <c r="P2" s="27"/>
      <c r="Q2" s="27"/>
      <c r="R2" s="27"/>
      <c r="S2" s="27"/>
    </row>
    <row r="3" spans="1:31" s="26" customFormat="1" ht="16.5" customHeight="1" x14ac:dyDescent="0.25">
      <c r="A3" s="18" t="s">
        <v>17</v>
      </c>
      <c r="B3" s="16"/>
      <c r="C3" s="13"/>
      <c r="E3" s="483" t="s">
        <v>980</v>
      </c>
      <c r="F3" s="483"/>
      <c r="G3" s="483"/>
      <c r="H3" s="483"/>
      <c r="I3" s="483"/>
      <c r="J3" s="483"/>
      <c r="K3" s="483"/>
      <c r="L3" s="483"/>
      <c r="M3" s="483"/>
      <c r="N3" s="483"/>
      <c r="O3" s="483"/>
      <c r="P3" s="483"/>
      <c r="Q3" s="483"/>
      <c r="R3" s="68"/>
      <c r="S3" s="69"/>
    </row>
    <row r="4" spans="1:31" s="26" customFormat="1" ht="16.5" customHeight="1" x14ac:dyDescent="0.3">
      <c r="A4" s="18" t="s">
        <v>19</v>
      </c>
      <c r="B4" s="16"/>
      <c r="C4" s="13"/>
      <c r="D4" s="70"/>
      <c r="E4" s="483"/>
      <c r="F4" s="483"/>
      <c r="G4" s="483"/>
      <c r="H4" s="483"/>
      <c r="I4" s="483"/>
      <c r="J4" s="483"/>
      <c r="K4" s="483"/>
      <c r="L4" s="483"/>
      <c r="M4" s="483"/>
      <c r="N4" s="483"/>
      <c r="O4" s="483"/>
      <c r="P4" s="483"/>
      <c r="Q4" s="483"/>
      <c r="R4" s="68"/>
      <c r="S4" s="69"/>
    </row>
    <row r="5" spans="1:31" s="26" customFormat="1" ht="16.5" customHeight="1" x14ac:dyDescent="0.25">
      <c r="A5" s="15" t="s">
        <v>20</v>
      </c>
      <c r="B5" s="16"/>
      <c r="C5" s="13"/>
      <c r="G5" s="71"/>
      <c r="H5" s="71"/>
      <c r="I5" s="71"/>
      <c r="J5" s="71"/>
      <c r="K5" s="71"/>
      <c r="L5" s="71"/>
      <c r="M5" s="71"/>
      <c r="N5" s="71"/>
      <c r="O5" s="71"/>
      <c r="P5" s="71"/>
      <c r="Q5" s="71"/>
      <c r="R5" s="71"/>
      <c r="S5" s="72"/>
    </row>
    <row r="6" spans="1:31" s="26" customFormat="1" ht="16.5" customHeight="1" x14ac:dyDescent="0.3">
      <c r="A6" s="18" t="s">
        <v>24</v>
      </c>
      <c r="B6" s="16"/>
      <c r="C6" s="13"/>
      <c r="E6" s="484" t="s">
        <v>88</v>
      </c>
      <c r="F6" s="484"/>
      <c r="G6" s="484"/>
      <c r="H6" s="484"/>
      <c r="I6" s="484"/>
      <c r="J6" s="484"/>
      <c r="K6" s="484"/>
      <c r="L6" s="484"/>
      <c r="M6" s="484"/>
      <c r="N6" s="484"/>
      <c r="O6" s="484"/>
      <c r="P6" s="484"/>
      <c r="Q6" s="484"/>
      <c r="R6" s="2"/>
      <c r="S6" s="72"/>
    </row>
    <row r="7" spans="1:31" ht="16.5" customHeight="1" x14ac:dyDescent="0.3">
      <c r="A7" s="18" t="s">
        <v>26</v>
      </c>
      <c r="B7" s="16"/>
      <c r="E7" s="484"/>
      <c r="F7" s="484"/>
      <c r="G7" s="484"/>
      <c r="H7" s="484"/>
      <c r="I7" s="484"/>
      <c r="J7" s="484"/>
      <c r="K7" s="484"/>
      <c r="L7" s="484"/>
      <c r="M7" s="484"/>
      <c r="N7" s="484"/>
      <c r="O7" s="484"/>
      <c r="P7" s="484"/>
      <c r="Q7" s="484"/>
      <c r="Z7" s="73"/>
      <c r="AA7" s="73"/>
    </row>
    <row r="8" spans="1:31" s="41" customFormat="1" ht="16.5" customHeight="1" x14ac:dyDescent="0.3">
      <c r="A8" s="18" t="s">
        <v>27</v>
      </c>
      <c r="B8" s="16"/>
      <c r="C8" s="13"/>
      <c r="E8" s="485" t="s">
        <v>89</v>
      </c>
      <c r="F8" s="485"/>
      <c r="G8" s="485"/>
      <c r="H8" s="485"/>
      <c r="I8" s="485"/>
      <c r="J8" s="485"/>
      <c r="K8" s="485"/>
      <c r="L8" s="480" t="s">
        <v>90</v>
      </c>
      <c r="M8" s="480" t="s">
        <v>91</v>
      </c>
      <c r="N8" s="480" t="s">
        <v>92</v>
      </c>
      <c r="O8" s="480" t="s">
        <v>93</v>
      </c>
      <c r="P8" s="480" t="s">
        <v>94</v>
      </c>
      <c r="Q8" s="480" t="s">
        <v>979</v>
      </c>
      <c r="R8" s="2"/>
      <c r="T8" s="26"/>
      <c r="V8" s="26"/>
      <c r="W8" s="26"/>
      <c r="X8" s="26"/>
      <c r="Y8" s="26"/>
      <c r="Z8" s="26"/>
      <c r="AA8" s="26"/>
      <c r="AB8" s="26"/>
      <c r="AC8" s="26"/>
      <c r="AD8" s="26"/>
      <c r="AE8" s="26"/>
    </row>
    <row r="9" spans="1:31" s="41" customFormat="1" ht="16.5" customHeight="1" x14ac:dyDescent="0.3">
      <c r="A9" s="17" t="s">
        <v>29</v>
      </c>
      <c r="B9" s="13"/>
      <c r="C9" s="13"/>
      <c r="E9" s="486" t="s">
        <v>65</v>
      </c>
      <c r="F9" s="480" t="s">
        <v>66</v>
      </c>
      <c r="G9" s="480" t="s">
        <v>96</v>
      </c>
      <c r="H9" s="485" t="s">
        <v>97</v>
      </c>
      <c r="I9" s="480" t="s">
        <v>98</v>
      </c>
      <c r="J9" s="480"/>
      <c r="K9" s="480" t="s">
        <v>99</v>
      </c>
      <c r="L9" s="480"/>
      <c r="M9" s="480"/>
      <c r="N9" s="480"/>
      <c r="O9" s="480"/>
      <c r="P9" s="480"/>
      <c r="Q9" s="480"/>
      <c r="R9" s="2"/>
      <c r="T9" s="26"/>
      <c r="V9" s="26"/>
      <c r="W9" s="26"/>
      <c r="X9" s="26"/>
      <c r="Y9" s="26"/>
      <c r="Z9" s="26"/>
      <c r="AA9" s="26"/>
      <c r="AB9" s="26"/>
      <c r="AC9" s="26"/>
      <c r="AD9" s="26"/>
      <c r="AE9" s="26"/>
    </row>
    <row r="10" spans="1:31" s="41" customFormat="1" ht="13.5" customHeight="1" x14ac:dyDescent="0.3">
      <c r="A10" s="17" t="s">
        <v>31</v>
      </c>
      <c r="B10" s="13"/>
      <c r="C10" s="13"/>
      <c r="E10" s="486"/>
      <c r="F10" s="486"/>
      <c r="G10" s="480"/>
      <c r="H10" s="480"/>
      <c r="I10" s="51" t="s">
        <v>47</v>
      </c>
      <c r="J10" s="51" t="s">
        <v>97</v>
      </c>
      <c r="K10" s="480"/>
      <c r="L10" s="480"/>
      <c r="M10" s="480"/>
      <c r="N10" s="480"/>
      <c r="O10" s="480"/>
      <c r="P10" s="480"/>
      <c r="Q10" s="480"/>
      <c r="R10" s="2"/>
      <c r="T10" s="26"/>
      <c r="V10" s="26"/>
      <c r="W10" s="26"/>
      <c r="X10" s="26"/>
      <c r="Y10" s="26"/>
      <c r="Z10" s="26"/>
      <c r="AA10" s="26"/>
      <c r="AB10" s="26"/>
      <c r="AC10" s="26"/>
      <c r="AD10" s="26"/>
      <c r="AE10" s="26"/>
    </row>
    <row r="11" spans="1:31" s="41" customFormat="1" ht="20.25" hidden="1" customHeight="1" x14ac:dyDescent="0.3">
      <c r="A11" s="47"/>
      <c r="B11" s="13"/>
      <c r="C11" s="13"/>
      <c r="E11" s="52" t="s">
        <v>65</v>
      </c>
      <c r="F11" s="52"/>
      <c r="G11" s="53"/>
      <c r="H11" s="53"/>
      <c r="I11" s="54"/>
      <c r="J11" s="54"/>
      <c r="K11" s="54"/>
      <c r="L11" s="74"/>
      <c r="M11" s="54"/>
      <c r="N11" s="54"/>
      <c r="O11" s="52" t="s">
        <v>69</v>
      </c>
      <c r="P11" s="52" t="s">
        <v>70</v>
      </c>
      <c r="Q11" s="54"/>
      <c r="R11" s="2"/>
      <c r="T11" s="26"/>
      <c r="V11" s="26"/>
      <c r="W11" s="26"/>
      <c r="X11" s="26"/>
      <c r="Y11" s="26"/>
      <c r="Z11" s="26"/>
      <c r="AA11" s="26"/>
      <c r="AB11" s="26"/>
      <c r="AC11" s="26"/>
      <c r="AD11" s="26"/>
      <c r="AE11" s="26"/>
    </row>
    <row r="12" spans="1:31" x14ac:dyDescent="0.3">
      <c r="A12" s="17" t="s">
        <v>32</v>
      </c>
      <c r="E12" s="410"/>
      <c r="F12" s="394" t="str">
        <f>IF(E12="","",IF(VLOOKUP(E12,'0_Datos generales organización'!$H$53:$L$300,3,FALSE)="","",VLOOKUP(E12,'0_Datos generales organización'!$H$53:$L$300,3,FALSE)))</f>
        <v/>
      </c>
      <c r="G12" s="411"/>
      <c r="H12" s="75" t="str">
        <f>IF(ISNUMBER(VLOOKUP(G12,Dades!$E$171:$G$215,3,0)),VLOOKUP(G12,Dades!$E$171:$G$215,3,0),"")</f>
        <v/>
      </c>
      <c r="I12" s="417"/>
      <c r="J12" s="418"/>
      <c r="K12" s="55" t="str">
        <f>IF(G12="","",VLOOKUP(G12,Dades!$E$171:$F$215,2,0))</f>
        <v/>
      </c>
      <c r="L12" s="411"/>
      <c r="M12" s="419"/>
      <c r="N12" s="419"/>
      <c r="O12" s="57" t="str">
        <f t="shared" ref="O12:O33" si="0">IF(OR(F12="Sí",F12=""),P12,"")</f>
        <v/>
      </c>
      <c r="P12" s="57" t="str">
        <f t="shared" ref="P12:P33" si="1">IF(AND(H12="",N12=""),"",IF(H12="",ROUND((J12*N12),0),ROUND((H12*N12),0)))</f>
        <v/>
      </c>
      <c r="Q12" s="76">
        <f>SUM(O12:O33)</f>
        <v>0</v>
      </c>
      <c r="T12" s="26"/>
      <c r="V12" s="26"/>
      <c r="W12" s="26"/>
      <c r="X12" s="26"/>
      <c r="Y12" s="26"/>
      <c r="Z12" s="26"/>
      <c r="AA12" s="26"/>
      <c r="AB12" s="26"/>
      <c r="AC12" s="26"/>
      <c r="AD12" s="26"/>
      <c r="AE12" s="26"/>
    </row>
    <row r="13" spans="1:31" ht="15" customHeight="1" x14ac:dyDescent="0.3">
      <c r="A13" s="17"/>
      <c r="E13" s="410"/>
      <c r="F13" s="394" t="str">
        <f>IF(E13="","",IF(VLOOKUP(E13,'0_Datos generales organización'!$H$53:$L$300,3,FALSE)="","",VLOOKUP(E13,'0_Datos generales organización'!$H$53:$L$300,3,FALSE)))</f>
        <v/>
      </c>
      <c r="G13" s="411"/>
      <c r="H13" s="75" t="str">
        <f>IF(ISNUMBER(VLOOKUP(G13,Dades!$E$171:$G$215,3,0)),VLOOKUP(G13,Dades!$E$171:$G$215,3,0),"")</f>
        <v/>
      </c>
      <c r="I13" s="417"/>
      <c r="J13" s="418"/>
      <c r="K13" s="55" t="str">
        <f>IF(G13="","",VLOOKUP(G13,Dades!$E$171:$F$215,2,0))</f>
        <v/>
      </c>
      <c r="L13" s="411"/>
      <c r="M13" s="419"/>
      <c r="N13" s="419"/>
      <c r="O13" s="57" t="str">
        <f t="shared" si="0"/>
        <v/>
      </c>
      <c r="P13" s="57" t="str">
        <f t="shared" si="1"/>
        <v/>
      </c>
      <c r="Q13" s="480" t="s">
        <v>95</v>
      </c>
      <c r="T13" s="26"/>
      <c r="V13" s="26"/>
      <c r="W13" s="26"/>
      <c r="X13" s="26"/>
      <c r="Y13" s="26"/>
      <c r="Z13" s="26"/>
      <c r="AA13" s="26"/>
      <c r="AB13" s="26"/>
      <c r="AC13" s="26"/>
      <c r="AD13" s="26"/>
      <c r="AE13" s="26"/>
    </row>
    <row r="14" spans="1:31" ht="15" customHeight="1" x14ac:dyDescent="0.3">
      <c r="A14" s="17"/>
      <c r="E14" s="410"/>
      <c r="F14" s="394" t="str">
        <f>IF(E14="","",IF(VLOOKUP(E14,'0_Datos generales organización'!$H$53:$L$300,3,FALSE)="","",VLOOKUP(E14,'0_Datos generales organización'!$H$53:$L$300,3,FALSE)))</f>
        <v/>
      </c>
      <c r="G14" s="411"/>
      <c r="H14" s="75" t="str">
        <f>IF(ISNUMBER(VLOOKUP(G14,Dades!$E$171:$G$215,3,0)),VLOOKUP(G14,Dades!$E$171:$G$215,3,0),"")</f>
        <v/>
      </c>
      <c r="I14" s="417"/>
      <c r="J14" s="418"/>
      <c r="K14" s="55" t="str">
        <f>IF(G14="","",VLOOKUP(G14,Dades!$E$171:$F$215,2,0))</f>
        <v/>
      </c>
      <c r="L14" s="411"/>
      <c r="M14" s="419"/>
      <c r="N14" s="419"/>
      <c r="O14" s="57" t="str">
        <f t="shared" si="0"/>
        <v/>
      </c>
      <c r="P14" s="57" t="str">
        <f t="shared" si="1"/>
        <v/>
      </c>
      <c r="Q14" s="480"/>
      <c r="T14" s="26"/>
      <c r="V14" s="26"/>
      <c r="W14" s="26"/>
      <c r="X14" s="26"/>
      <c r="Y14" s="26"/>
      <c r="Z14" s="26"/>
      <c r="AA14" s="26"/>
      <c r="AB14" s="26"/>
      <c r="AC14" s="26"/>
      <c r="AD14" s="26"/>
      <c r="AE14" s="26"/>
    </row>
    <row r="15" spans="1:31" ht="15" customHeight="1" x14ac:dyDescent="0.3">
      <c r="A15" s="17"/>
      <c r="E15" s="410"/>
      <c r="F15" s="394" t="str">
        <f>IF(E15="","",IF(VLOOKUP(E15,'0_Datos generales organización'!$H$53:$L$300,3,FALSE)="","",VLOOKUP(E15,'0_Datos generales organización'!$H$53:$L$300,3,FALSE)))</f>
        <v/>
      </c>
      <c r="G15" s="411"/>
      <c r="H15" s="75" t="str">
        <f>IF(ISNUMBER(VLOOKUP(G15,Dades!$E$171:$G$215,3,0)),VLOOKUP(G15,Dades!$E$171:$G$215,3,0),"")</f>
        <v/>
      </c>
      <c r="I15" s="417"/>
      <c r="J15" s="418"/>
      <c r="K15" s="55" t="str">
        <f>IF(G15="","",VLOOKUP(G15,Dades!$E$171:$F$215,2,0))</f>
        <v/>
      </c>
      <c r="L15" s="411"/>
      <c r="M15" s="419"/>
      <c r="N15" s="419"/>
      <c r="O15" s="57" t="str">
        <f t="shared" si="0"/>
        <v/>
      </c>
      <c r="P15" s="57" t="str">
        <f t="shared" si="1"/>
        <v/>
      </c>
      <c r="Q15" s="480"/>
      <c r="T15" s="26"/>
      <c r="V15" s="26"/>
      <c r="W15" s="26"/>
      <c r="X15" s="26"/>
      <c r="Y15" s="26"/>
      <c r="Z15" s="26"/>
      <c r="AA15" s="26"/>
      <c r="AB15" s="26"/>
      <c r="AC15" s="26"/>
      <c r="AD15" s="26"/>
      <c r="AE15" s="26"/>
    </row>
    <row r="16" spans="1:31" ht="15" customHeight="1" x14ac:dyDescent="0.3">
      <c r="A16" s="17"/>
      <c r="E16" s="410"/>
      <c r="F16" s="394" t="str">
        <f>IF(E16="","",IF(VLOOKUP(E16,'0_Datos generales organización'!$H$53:$L$300,3,FALSE)="","",VLOOKUP(E16,'0_Datos generales organización'!$H$53:$L$300,3,FALSE)))</f>
        <v/>
      </c>
      <c r="G16" s="411"/>
      <c r="H16" s="75" t="str">
        <f>IF(ISNUMBER(VLOOKUP(G16,Dades!$E$171:$G$215,3,0)),VLOOKUP(G16,Dades!$E$171:$G$215,3,0),"")</f>
        <v/>
      </c>
      <c r="I16" s="417"/>
      <c r="J16" s="418"/>
      <c r="K16" s="55" t="str">
        <f>IF(G16="","",VLOOKUP(G16,Dades!$E$171:$F$215,2,0))</f>
        <v/>
      </c>
      <c r="L16" s="411"/>
      <c r="M16" s="419"/>
      <c r="N16" s="419"/>
      <c r="O16" s="57" t="str">
        <f t="shared" si="0"/>
        <v/>
      </c>
      <c r="P16" s="57" t="str">
        <f t="shared" si="1"/>
        <v/>
      </c>
      <c r="Q16" s="76">
        <f>SUM(P12:P33)</f>
        <v>0</v>
      </c>
      <c r="T16" s="26"/>
      <c r="V16" s="26"/>
      <c r="W16" s="26"/>
      <c r="X16" s="26"/>
      <c r="Y16" s="26"/>
      <c r="Z16" s="26"/>
      <c r="AA16" s="26"/>
      <c r="AB16" s="26"/>
      <c r="AC16" s="26"/>
      <c r="AD16" s="26"/>
      <c r="AE16" s="26"/>
    </row>
    <row r="17" spans="1:31" ht="15" customHeight="1" x14ac:dyDescent="0.3">
      <c r="A17" s="17"/>
      <c r="E17" s="410"/>
      <c r="F17" s="394" t="str">
        <f>IF(E17="","",IF(VLOOKUP(E17,'0_Datos generales organización'!$H$53:$L$300,3,FALSE)="","",VLOOKUP(E17,'0_Datos generales organización'!$H$53:$L$300,3,FALSE)))</f>
        <v/>
      </c>
      <c r="G17" s="411"/>
      <c r="H17" s="75" t="str">
        <f>IF(ISNUMBER(VLOOKUP(G17,Dades!$E$171:$G$215,3,0)),VLOOKUP(G17,Dades!$E$171:$G$215,3,0),"")</f>
        <v/>
      </c>
      <c r="I17" s="417"/>
      <c r="J17" s="418"/>
      <c r="K17" s="55" t="str">
        <f>IF(G17="","",VLOOKUP(G17,Dades!$E$171:$F$215,2,0))</f>
        <v/>
      </c>
      <c r="L17" s="411"/>
      <c r="M17" s="419"/>
      <c r="N17" s="419"/>
      <c r="O17" s="57" t="str">
        <f t="shared" si="0"/>
        <v/>
      </c>
      <c r="P17" s="57" t="str">
        <f t="shared" si="1"/>
        <v/>
      </c>
      <c r="Q17" s="77"/>
      <c r="T17" s="26"/>
      <c r="V17" s="26"/>
      <c r="W17" s="26"/>
      <c r="X17" s="26"/>
      <c r="Y17" s="26"/>
      <c r="Z17" s="26"/>
      <c r="AA17" s="26"/>
      <c r="AB17" s="26"/>
      <c r="AC17" s="26"/>
      <c r="AD17" s="26"/>
      <c r="AE17" s="26"/>
    </row>
    <row r="18" spans="1:31" ht="15" customHeight="1" x14ac:dyDescent="0.3">
      <c r="A18" s="17"/>
      <c r="E18" s="410"/>
      <c r="F18" s="394" t="str">
        <f>IF(E18="","",IF(VLOOKUP(E18,'0_Datos generales organización'!$H$53:$L$300,3,FALSE)="","",VLOOKUP(E18,'0_Datos generales organización'!$H$53:$L$300,3,FALSE)))</f>
        <v/>
      </c>
      <c r="G18" s="411"/>
      <c r="H18" s="75" t="str">
        <f>IF(ISNUMBER(VLOOKUP(G18,Dades!$E$171:$G$215,3,0)),VLOOKUP(G18,Dades!$E$171:$G$215,3,0),"")</f>
        <v/>
      </c>
      <c r="I18" s="417"/>
      <c r="J18" s="418"/>
      <c r="K18" s="55" t="str">
        <f>IF(G18="","",VLOOKUP(G18,Dades!$E$171:$F$215,2,0))</f>
        <v/>
      </c>
      <c r="L18" s="411"/>
      <c r="M18" s="419"/>
      <c r="N18" s="419"/>
      <c r="O18" s="57" t="str">
        <f t="shared" si="0"/>
        <v/>
      </c>
      <c r="P18" s="57" t="str">
        <f t="shared" si="1"/>
        <v/>
      </c>
      <c r="Q18" s="78"/>
      <c r="T18" s="26"/>
      <c r="V18" s="26"/>
      <c r="W18" s="26"/>
      <c r="X18" s="26"/>
      <c r="Y18" s="26"/>
      <c r="Z18" s="26"/>
      <c r="AA18" s="26"/>
      <c r="AB18" s="26"/>
      <c r="AC18" s="26"/>
      <c r="AD18" s="26"/>
      <c r="AE18" s="26"/>
    </row>
    <row r="19" spans="1:31" ht="15" customHeight="1" x14ac:dyDescent="0.3">
      <c r="A19" s="17"/>
      <c r="E19" s="410"/>
      <c r="F19" s="394" t="str">
        <f>IF(E19="","",IF(VLOOKUP(E19,'0_Datos generales organización'!$H$53:$L$300,3,FALSE)="","",VLOOKUP(E19,'0_Datos generales organización'!$H$53:$L$300,3,FALSE)))</f>
        <v/>
      </c>
      <c r="G19" s="411"/>
      <c r="H19" s="75" t="str">
        <f>IF(ISNUMBER(VLOOKUP(G19,Dades!$E$171:$G$215,3,0)),VLOOKUP(G19,Dades!$E$171:$G$215,3,0),"")</f>
        <v/>
      </c>
      <c r="I19" s="417"/>
      <c r="J19" s="418"/>
      <c r="K19" s="55" t="str">
        <f>IF(G19="","",VLOOKUP(G19,Dades!$E$171:$F$215,2,0))</f>
        <v/>
      </c>
      <c r="L19" s="411"/>
      <c r="M19" s="419"/>
      <c r="N19" s="419"/>
      <c r="O19" s="57" t="str">
        <f t="shared" si="0"/>
        <v/>
      </c>
      <c r="P19" s="57" t="str">
        <f t="shared" si="1"/>
        <v/>
      </c>
      <c r="Q19" s="78"/>
      <c r="T19" s="26"/>
      <c r="V19" s="26"/>
      <c r="W19" s="26"/>
      <c r="X19" s="26"/>
      <c r="Y19" s="26"/>
      <c r="Z19" s="26"/>
      <c r="AA19" s="26"/>
      <c r="AB19" s="26"/>
      <c r="AC19" s="26"/>
      <c r="AD19" s="26"/>
      <c r="AE19" s="26"/>
    </row>
    <row r="20" spans="1:31" ht="15" customHeight="1" x14ac:dyDescent="0.3">
      <c r="A20" s="17"/>
      <c r="E20" s="410"/>
      <c r="F20" s="394" t="str">
        <f>IF(E20="","",IF(VLOOKUP(E20,'0_Datos generales organización'!$H$53:$L$300,3,FALSE)="","",VLOOKUP(E20,'0_Datos generales organización'!$H$53:$L$300,3,FALSE)))</f>
        <v/>
      </c>
      <c r="G20" s="411"/>
      <c r="H20" s="75" t="str">
        <f>IF(ISNUMBER(VLOOKUP(G20,Dades!$E$171:$G$215,3,0)),VLOOKUP(G20,Dades!$E$171:$G$215,3,0),"")</f>
        <v/>
      </c>
      <c r="I20" s="417"/>
      <c r="J20" s="418"/>
      <c r="K20" s="55" t="str">
        <f>IF(G20="","",VLOOKUP(G20,Dades!$E$171:$F$215,2,0))</f>
        <v/>
      </c>
      <c r="L20" s="411"/>
      <c r="M20" s="419"/>
      <c r="N20" s="419"/>
      <c r="O20" s="57" t="str">
        <f t="shared" si="0"/>
        <v/>
      </c>
      <c r="P20" s="57" t="str">
        <f t="shared" si="1"/>
        <v/>
      </c>
      <c r="Q20" s="79"/>
      <c r="T20" s="26"/>
      <c r="V20" s="26"/>
      <c r="W20" s="26"/>
      <c r="X20" s="26"/>
      <c r="Y20" s="26"/>
      <c r="Z20" s="26"/>
      <c r="AA20" s="26"/>
      <c r="AB20" s="26"/>
      <c r="AC20" s="26"/>
      <c r="AD20" s="26"/>
      <c r="AE20" s="26"/>
    </row>
    <row r="21" spans="1:31" ht="15" customHeight="1" x14ac:dyDescent="0.3">
      <c r="A21" s="17"/>
      <c r="E21" s="410"/>
      <c r="F21" s="394" t="str">
        <f>IF(E21="","",IF(VLOOKUP(E21,'0_Datos generales organización'!$H$53:$L$300,3,FALSE)="","",VLOOKUP(E21,'0_Datos generales organización'!$H$53:$L$300,3,FALSE)))</f>
        <v/>
      </c>
      <c r="G21" s="411"/>
      <c r="H21" s="75" t="str">
        <f>IF(ISNUMBER(VLOOKUP(G21,Dades!$E$171:$G$215,3,0)),VLOOKUP(G21,Dades!$E$171:$G$215,3,0),"")</f>
        <v/>
      </c>
      <c r="I21" s="417"/>
      <c r="J21" s="418"/>
      <c r="K21" s="55" t="str">
        <f>IF(G21="","",VLOOKUP(G21,Dades!$E$171:$F$215,2,0))</f>
        <v/>
      </c>
      <c r="L21" s="411"/>
      <c r="M21" s="419"/>
      <c r="N21" s="419"/>
      <c r="O21" s="57" t="str">
        <f t="shared" si="0"/>
        <v/>
      </c>
      <c r="P21" s="57" t="str">
        <f t="shared" si="1"/>
        <v/>
      </c>
      <c r="Q21" s="79"/>
      <c r="T21" s="26"/>
      <c r="V21" s="26"/>
      <c r="W21" s="26"/>
      <c r="X21" s="26"/>
      <c r="Y21" s="26"/>
      <c r="Z21" s="26"/>
      <c r="AA21" s="26"/>
      <c r="AB21" s="26"/>
      <c r="AC21" s="26"/>
      <c r="AD21" s="26"/>
      <c r="AE21" s="26"/>
    </row>
    <row r="22" spans="1:31" ht="15" customHeight="1" x14ac:dyDescent="0.3">
      <c r="A22" s="17"/>
      <c r="E22" s="410"/>
      <c r="F22" s="394" t="str">
        <f>IF(E22="","",IF(VLOOKUP(E22,'0_Datos generales organización'!$H$53:$L$300,3,FALSE)="","",VLOOKUP(E22,'0_Datos generales organización'!$H$53:$L$300,3,FALSE)))</f>
        <v/>
      </c>
      <c r="G22" s="411"/>
      <c r="H22" s="75" t="str">
        <f>IF(ISNUMBER(VLOOKUP(G22,Dades!$E$171:$G$215,3,0)),VLOOKUP(G22,Dades!$E$171:$G$215,3,0),"")</f>
        <v/>
      </c>
      <c r="I22" s="417"/>
      <c r="J22" s="418"/>
      <c r="K22" s="55" t="str">
        <f>IF(G22="","",VLOOKUP(G22,Dades!$E$171:$F$215,2,0))</f>
        <v/>
      </c>
      <c r="L22" s="411"/>
      <c r="M22" s="419"/>
      <c r="N22" s="419"/>
      <c r="O22" s="57" t="str">
        <f t="shared" si="0"/>
        <v/>
      </c>
      <c r="P22" s="57" t="str">
        <f t="shared" si="1"/>
        <v/>
      </c>
      <c r="Q22" s="79"/>
      <c r="T22" s="26"/>
      <c r="V22" s="26"/>
      <c r="W22" s="26"/>
      <c r="X22" s="26"/>
      <c r="Y22" s="26"/>
      <c r="Z22" s="26"/>
      <c r="AA22" s="26"/>
      <c r="AB22" s="26"/>
      <c r="AC22" s="26"/>
      <c r="AD22" s="26"/>
      <c r="AE22" s="26"/>
    </row>
    <row r="23" spans="1:31" ht="15" customHeight="1" x14ac:dyDescent="0.3">
      <c r="A23" s="80"/>
      <c r="E23" s="410"/>
      <c r="F23" s="394" t="str">
        <f>IF(E23="","",IF(VLOOKUP(E23,'0_Datos generales organización'!$H$53:$L$300,3,FALSE)="","",VLOOKUP(E23,'0_Datos generales organización'!$H$53:$L$300,3,FALSE)))</f>
        <v/>
      </c>
      <c r="G23" s="411"/>
      <c r="H23" s="75" t="str">
        <f>IF(ISNUMBER(VLOOKUP(G23,Dades!$E$171:$G$215,3,0)),VLOOKUP(G23,Dades!$E$171:$G$215,3,0),"")</f>
        <v/>
      </c>
      <c r="I23" s="417"/>
      <c r="J23" s="418"/>
      <c r="K23" s="55" t="str">
        <f>IF(G23="","",VLOOKUP(G23,Dades!$E$171:$F$215,2,0))</f>
        <v/>
      </c>
      <c r="L23" s="411"/>
      <c r="M23" s="419"/>
      <c r="N23" s="419"/>
      <c r="O23" s="57" t="str">
        <f t="shared" si="0"/>
        <v/>
      </c>
      <c r="P23" s="57" t="str">
        <f t="shared" si="1"/>
        <v/>
      </c>
      <c r="Q23" s="79"/>
      <c r="T23" s="26"/>
      <c r="V23" s="26"/>
      <c r="W23" s="26"/>
      <c r="X23" s="26"/>
      <c r="Y23" s="26"/>
      <c r="Z23" s="26"/>
      <c r="AA23" s="26"/>
      <c r="AB23" s="26"/>
      <c r="AC23" s="26"/>
      <c r="AD23" s="26"/>
      <c r="AE23" s="26"/>
    </row>
    <row r="24" spans="1:31" ht="15" customHeight="1" x14ac:dyDescent="0.3">
      <c r="A24" s="17"/>
      <c r="E24" s="410"/>
      <c r="F24" s="394" t="str">
        <f>IF(E24="","",IF(VLOOKUP(E24,'0_Datos generales organización'!$H$53:$L$300,3,FALSE)="","",VLOOKUP(E24,'0_Datos generales organización'!$H$53:$L$300,3,FALSE)))</f>
        <v/>
      </c>
      <c r="G24" s="411"/>
      <c r="H24" s="75" t="str">
        <f>IF(ISNUMBER(VLOOKUP(G24,Dades!$E$171:$G$215,3,0)),VLOOKUP(G24,Dades!$E$171:$G$215,3,0),"")</f>
        <v/>
      </c>
      <c r="I24" s="417"/>
      <c r="J24" s="418"/>
      <c r="K24" s="55" t="str">
        <f>IF(G24="","",VLOOKUP(G24,Dades!$E$171:$F$215,2,0))</f>
        <v/>
      </c>
      <c r="L24" s="411"/>
      <c r="M24" s="419"/>
      <c r="N24" s="419"/>
      <c r="O24" s="57" t="str">
        <f t="shared" si="0"/>
        <v/>
      </c>
      <c r="P24" s="57" t="str">
        <f t="shared" si="1"/>
        <v/>
      </c>
      <c r="Q24" s="79"/>
      <c r="T24" s="26"/>
      <c r="V24" s="26"/>
      <c r="W24" s="26"/>
      <c r="X24" s="26"/>
      <c r="Y24" s="26"/>
      <c r="Z24" s="26"/>
      <c r="AA24" s="26"/>
      <c r="AB24" s="26"/>
      <c r="AC24" s="26"/>
      <c r="AD24" s="26"/>
      <c r="AE24" s="26"/>
    </row>
    <row r="25" spans="1:31" ht="15" customHeight="1" x14ac:dyDescent="0.3">
      <c r="A25" s="47"/>
      <c r="E25" s="410"/>
      <c r="F25" s="394" t="str">
        <f>IF(E25="","",IF(VLOOKUP(E25,'0_Datos generales organización'!$H$53:$L$300,3,FALSE)="","",VLOOKUP(E25,'0_Datos generales organización'!$H$53:$L$300,3,FALSE)))</f>
        <v/>
      </c>
      <c r="G25" s="411"/>
      <c r="H25" s="75" t="str">
        <f>IF(ISNUMBER(VLOOKUP(G25,Dades!$E$171:$G$215,3,0)),VLOOKUP(G25,Dades!$E$171:$G$215,3,0),"")</f>
        <v/>
      </c>
      <c r="I25" s="417"/>
      <c r="J25" s="418"/>
      <c r="K25" s="55" t="str">
        <f>IF(G25="","",VLOOKUP(G25,Dades!$E$171:$F$215,2,0))</f>
        <v/>
      </c>
      <c r="L25" s="411"/>
      <c r="M25" s="419"/>
      <c r="N25" s="419"/>
      <c r="O25" s="57" t="str">
        <f t="shared" si="0"/>
        <v/>
      </c>
      <c r="P25" s="57" t="str">
        <f t="shared" si="1"/>
        <v/>
      </c>
      <c r="Q25" s="79"/>
      <c r="T25" s="26"/>
      <c r="V25" s="26"/>
      <c r="W25" s="26"/>
      <c r="X25" s="26"/>
      <c r="Y25" s="26"/>
      <c r="Z25" s="26"/>
      <c r="AA25" s="26"/>
      <c r="AB25" s="26"/>
      <c r="AC25" s="26"/>
      <c r="AD25" s="26"/>
      <c r="AE25" s="26"/>
    </row>
    <row r="26" spans="1:31" ht="15" customHeight="1" x14ac:dyDescent="0.3">
      <c r="A26" s="47"/>
      <c r="E26" s="410"/>
      <c r="F26" s="394" t="str">
        <f>IF(E26="","",IF(VLOOKUP(E26,'0_Datos generales organización'!$H$53:$L$300,3,FALSE)="","",VLOOKUP(E26,'0_Datos generales organización'!$H$53:$L$300,3,FALSE)))</f>
        <v/>
      </c>
      <c r="G26" s="411"/>
      <c r="H26" s="75" t="str">
        <f>IF(ISNUMBER(VLOOKUP(G26,Dades!$E$171:$G$215,3,0)),VLOOKUP(G26,Dades!$E$171:$G$215,3,0),"")</f>
        <v/>
      </c>
      <c r="I26" s="417"/>
      <c r="J26" s="418"/>
      <c r="K26" s="55" t="str">
        <f>IF(G26="","",VLOOKUP(G26,Dades!$E$171:$F$215,2,0))</f>
        <v/>
      </c>
      <c r="L26" s="411"/>
      <c r="M26" s="419"/>
      <c r="N26" s="419"/>
      <c r="O26" s="57" t="str">
        <f t="shared" si="0"/>
        <v/>
      </c>
      <c r="P26" s="57" t="str">
        <f t="shared" si="1"/>
        <v/>
      </c>
      <c r="Q26" s="79"/>
      <c r="T26" s="26"/>
      <c r="V26" s="26"/>
      <c r="W26" s="26"/>
      <c r="X26" s="26"/>
      <c r="Y26" s="26"/>
      <c r="Z26" s="26"/>
      <c r="AA26" s="26"/>
      <c r="AB26" s="26"/>
      <c r="AC26" s="26"/>
      <c r="AD26" s="26"/>
      <c r="AE26" s="26"/>
    </row>
    <row r="27" spans="1:31" ht="15" customHeight="1" x14ac:dyDescent="0.3">
      <c r="A27" s="47"/>
      <c r="E27" s="410"/>
      <c r="F27" s="394" t="str">
        <f>IF(E27="","",IF(VLOOKUP(E27,'0_Datos generales organización'!$H$53:$L$300,3,FALSE)="","",VLOOKUP(E27,'0_Datos generales organización'!$H$53:$L$300,3,FALSE)))</f>
        <v/>
      </c>
      <c r="G27" s="411"/>
      <c r="H27" s="75" t="str">
        <f>IF(ISNUMBER(VLOOKUP(G27,Dades!$E$171:$G$215,3,0)),VLOOKUP(G27,Dades!$E$171:$G$215,3,0),"")</f>
        <v/>
      </c>
      <c r="I27" s="417"/>
      <c r="J27" s="418"/>
      <c r="K27" s="55" t="str">
        <f>IF(G27="","",VLOOKUP(G27,Dades!$E$171:$F$215,2,0))</f>
        <v/>
      </c>
      <c r="L27" s="411"/>
      <c r="M27" s="419"/>
      <c r="N27" s="419"/>
      <c r="O27" s="57" t="str">
        <f t="shared" si="0"/>
        <v/>
      </c>
      <c r="P27" s="57" t="str">
        <f t="shared" si="1"/>
        <v/>
      </c>
      <c r="Q27" s="79"/>
      <c r="T27" s="26"/>
      <c r="V27" s="26"/>
      <c r="W27" s="26"/>
      <c r="X27" s="26"/>
      <c r="Y27" s="26"/>
      <c r="Z27" s="26"/>
      <c r="AA27" s="26"/>
      <c r="AB27" s="26"/>
      <c r="AC27" s="26"/>
      <c r="AD27" s="26"/>
      <c r="AE27" s="26"/>
    </row>
    <row r="28" spans="1:31" ht="15" customHeight="1" x14ac:dyDescent="0.3">
      <c r="A28" s="47"/>
      <c r="E28" s="410"/>
      <c r="F28" s="394" t="str">
        <f>IF(E28="","",IF(VLOOKUP(E28,'0_Datos generales organización'!$H$53:$L$300,3,FALSE)="","",VLOOKUP(E28,'0_Datos generales organización'!$H$53:$L$300,3,FALSE)))</f>
        <v/>
      </c>
      <c r="G28" s="411"/>
      <c r="H28" s="75" t="str">
        <f>IF(ISNUMBER(VLOOKUP(G28,Dades!$E$171:$G$215,3,0)),VLOOKUP(G28,Dades!$E$171:$G$215,3,0),"")</f>
        <v/>
      </c>
      <c r="I28" s="417"/>
      <c r="J28" s="418"/>
      <c r="K28" s="55" t="str">
        <f>IF(G28="","",VLOOKUP(G28,Dades!$E$171:$F$215,2,0))</f>
        <v/>
      </c>
      <c r="L28" s="411"/>
      <c r="M28" s="419"/>
      <c r="N28" s="419"/>
      <c r="O28" s="57" t="str">
        <f t="shared" si="0"/>
        <v/>
      </c>
      <c r="P28" s="57" t="str">
        <f t="shared" si="1"/>
        <v/>
      </c>
      <c r="Q28" s="79"/>
      <c r="T28" s="26"/>
      <c r="V28" s="26"/>
      <c r="W28" s="26"/>
      <c r="X28" s="26"/>
      <c r="Y28" s="26"/>
      <c r="Z28" s="26"/>
      <c r="AA28" s="26"/>
      <c r="AB28" s="26"/>
      <c r="AC28" s="26"/>
      <c r="AD28" s="26"/>
      <c r="AE28" s="26"/>
    </row>
    <row r="29" spans="1:31" ht="15" customHeight="1" x14ac:dyDescent="0.3">
      <c r="A29" s="47"/>
      <c r="E29" s="410"/>
      <c r="F29" s="394" t="str">
        <f>IF(E29="","",IF(VLOOKUP(E29,'0_Datos generales organización'!$H$53:$L$300,3,FALSE)="","",VLOOKUP(E29,'0_Datos generales organización'!$H$53:$L$300,3,FALSE)))</f>
        <v/>
      </c>
      <c r="G29" s="411"/>
      <c r="H29" s="75" t="str">
        <f>IF(ISNUMBER(VLOOKUP(G29,Dades!$E$171:$G$215,3,0)),VLOOKUP(G29,Dades!$E$171:$G$215,3,0),"")</f>
        <v/>
      </c>
      <c r="I29" s="417"/>
      <c r="J29" s="418"/>
      <c r="K29" s="55" t="str">
        <f>IF(G29="","",VLOOKUP(G29,Dades!$E$171:$F$215,2,0))</f>
        <v/>
      </c>
      <c r="L29" s="411"/>
      <c r="M29" s="419"/>
      <c r="N29" s="419"/>
      <c r="O29" s="57" t="str">
        <f t="shared" si="0"/>
        <v/>
      </c>
      <c r="P29" s="57" t="str">
        <f t="shared" si="1"/>
        <v/>
      </c>
      <c r="Q29" s="79"/>
      <c r="T29" s="26"/>
      <c r="V29" s="26"/>
      <c r="W29" s="26"/>
      <c r="X29" s="26"/>
      <c r="Y29" s="26"/>
      <c r="Z29" s="26"/>
      <c r="AA29" s="26"/>
      <c r="AB29" s="26"/>
      <c r="AC29" s="26"/>
      <c r="AD29" s="26"/>
      <c r="AE29" s="26"/>
    </row>
    <row r="30" spans="1:31" ht="15" customHeight="1" x14ac:dyDescent="0.3">
      <c r="A30" s="47"/>
      <c r="E30" s="410"/>
      <c r="F30" s="394" t="str">
        <f>IF(E30="","",IF(VLOOKUP(E30,'0_Datos generales organización'!$H$53:$L$300,3,FALSE)="","",VLOOKUP(E30,'0_Datos generales organización'!$H$53:$L$300,3,FALSE)))</f>
        <v/>
      </c>
      <c r="G30" s="411"/>
      <c r="H30" s="75" t="str">
        <f>IF(ISNUMBER(VLOOKUP(G30,Dades!$E$171:$G$215,3,0)),VLOOKUP(G30,Dades!$E$171:$G$215,3,0),"")</f>
        <v/>
      </c>
      <c r="I30" s="417"/>
      <c r="J30" s="418"/>
      <c r="K30" s="55" t="str">
        <f>IF(G30="","",VLOOKUP(G30,Dades!$E$171:$F$215,2,0))</f>
        <v/>
      </c>
      <c r="L30" s="411"/>
      <c r="M30" s="419"/>
      <c r="N30" s="419"/>
      <c r="O30" s="57" t="str">
        <f t="shared" si="0"/>
        <v/>
      </c>
      <c r="P30" s="57" t="str">
        <f t="shared" si="1"/>
        <v/>
      </c>
      <c r="Q30" s="79"/>
      <c r="T30" s="26"/>
      <c r="V30" s="26"/>
      <c r="W30" s="26"/>
      <c r="X30" s="26"/>
      <c r="Y30" s="26"/>
      <c r="Z30" s="26"/>
      <c r="AA30" s="26"/>
      <c r="AB30" s="26"/>
      <c r="AC30" s="26"/>
      <c r="AD30" s="26"/>
      <c r="AE30" s="26"/>
    </row>
    <row r="31" spans="1:31" ht="15" customHeight="1" x14ac:dyDescent="0.3">
      <c r="A31" s="47"/>
      <c r="E31" s="410"/>
      <c r="F31" s="394" t="str">
        <f>IF(E31="","",IF(VLOOKUP(E31,'0_Datos generales organización'!$H$53:$L$300,3,FALSE)="","",VLOOKUP(E31,'0_Datos generales organización'!$H$53:$L$300,3,FALSE)))</f>
        <v/>
      </c>
      <c r="G31" s="411"/>
      <c r="H31" s="75" t="str">
        <f>IF(ISNUMBER(VLOOKUP(G31,Dades!$E$171:$G$215,3,0)),VLOOKUP(G31,Dades!$E$171:$G$215,3,0),"")</f>
        <v/>
      </c>
      <c r="I31" s="417"/>
      <c r="J31" s="418"/>
      <c r="K31" s="55" t="str">
        <f>IF(G31="","",VLOOKUP(G31,Dades!$E$171:$F$215,2,0))</f>
        <v/>
      </c>
      <c r="L31" s="411"/>
      <c r="M31" s="419"/>
      <c r="N31" s="419"/>
      <c r="O31" s="57" t="str">
        <f t="shared" si="0"/>
        <v/>
      </c>
      <c r="P31" s="57" t="str">
        <f t="shared" si="1"/>
        <v/>
      </c>
      <c r="Q31" s="79"/>
      <c r="T31" s="26"/>
      <c r="V31" s="26"/>
      <c r="W31" s="26"/>
      <c r="X31" s="26"/>
      <c r="Y31" s="26"/>
      <c r="Z31" s="26"/>
      <c r="AA31" s="26"/>
      <c r="AB31" s="26"/>
      <c r="AC31" s="26"/>
      <c r="AD31" s="26"/>
      <c r="AE31" s="26"/>
    </row>
    <row r="32" spans="1:31" ht="15" customHeight="1" x14ac:dyDescent="0.3">
      <c r="A32" s="47"/>
      <c r="E32" s="410"/>
      <c r="F32" s="394" t="str">
        <f>IF(E32="","",IF(VLOOKUP(E32,'0_Datos generales organización'!$H$53:$L$300,3,FALSE)="","",VLOOKUP(E32,'0_Datos generales organización'!$H$53:$L$300,3,FALSE)))</f>
        <v/>
      </c>
      <c r="G32" s="411"/>
      <c r="H32" s="75" t="str">
        <f>IF(ISNUMBER(VLOOKUP(G32,Dades!$E$171:$G$215,3,0)),VLOOKUP(G32,Dades!$E$171:$G$215,3,0),"")</f>
        <v/>
      </c>
      <c r="I32" s="417"/>
      <c r="J32" s="418"/>
      <c r="K32" s="55" t="str">
        <f>IF(G32="","",VLOOKUP(G32,Dades!$E$171:$F$215,2,0))</f>
        <v/>
      </c>
      <c r="L32" s="411"/>
      <c r="M32" s="419"/>
      <c r="N32" s="419"/>
      <c r="O32" s="57" t="str">
        <f t="shared" si="0"/>
        <v/>
      </c>
      <c r="P32" s="57" t="str">
        <f t="shared" si="1"/>
        <v/>
      </c>
      <c r="Q32" s="79"/>
      <c r="T32" s="26"/>
      <c r="V32" s="26"/>
      <c r="W32" s="26"/>
      <c r="X32" s="26"/>
      <c r="Y32" s="26"/>
      <c r="Z32" s="26"/>
      <c r="AA32" s="26"/>
      <c r="AB32" s="26"/>
      <c r="AC32" s="26"/>
      <c r="AD32" s="26"/>
      <c r="AE32" s="26"/>
    </row>
    <row r="33" spans="1:31" ht="15" customHeight="1" x14ac:dyDescent="0.3">
      <c r="A33" s="47"/>
      <c r="E33" s="410"/>
      <c r="F33" s="394" t="str">
        <f>IF(E33="","",IF(VLOOKUP(E33,'0_Datos generales organización'!$H$53:$L$300,3,FALSE)="","",VLOOKUP(E33,'0_Datos generales organización'!$H$53:$L$300,3,FALSE)))</f>
        <v/>
      </c>
      <c r="G33" s="411"/>
      <c r="H33" s="75" t="str">
        <f>IF(ISNUMBER(VLOOKUP(G33,Dades!$E$171:$G$215,3,0)),VLOOKUP(G33,Dades!$E$171:$G$215,3,0),"")</f>
        <v/>
      </c>
      <c r="I33" s="417"/>
      <c r="J33" s="418"/>
      <c r="K33" s="55" t="str">
        <f>IF(G33="","",VLOOKUP(G33,Dades!$E$171:$F$215,2,0))</f>
        <v/>
      </c>
      <c r="L33" s="411"/>
      <c r="M33" s="419"/>
      <c r="N33" s="419"/>
      <c r="O33" s="57" t="str">
        <f t="shared" si="0"/>
        <v/>
      </c>
      <c r="P33" s="57" t="str">
        <f t="shared" si="1"/>
        <v/>
      </c>
      <c r="Q33" s="79"/>
      <c r="T33" s="26"/>
      <c r="V33" s="26"/>
      <c r="W33" s="26"/>
      <c r="X33" s="26"/>
      <c r="Y33" s="26"/>
      <c r="Z33" s="26"/>
      <c r="AA33" s="26"/>
      <c r="AB33" s="26"/>
      <c r="AC33" s="26"/>
      <c r="AD33" s="26"/>
      <c r="AE33" s="26"/>
    </row>
    <row r="34" spans="1:31" ht="11.25" customHeight="1" x14ac:dyDescent="0.3">
      <c r="A34" s="47"/>
      <c r="K34" s="2"/>
      <c r="T34" s="26"/>
    </row>
    <row r="35" spans="1:31" ht="24" customHeight="1" x14ac:dyDescent="0.3">
      <c r="A35" s="47"/>
      <c r="E35" s="481" t="s">
        <v>102</v>
      </c>
      <c r="F35" s="481"/>
      <c r="G35" s="481"/>
      <c r="H35" s="481"/>
      <c r="I35" s="481"/>
      <c r="J35" s="481"/>
      <c r="K35" s="481"/>
      <c r="L35" s="481"/>
      <c r="M35" s="481"/>
      <c r="N35" s="481"/>
      <c r="O35" s="481"/>
      <c r="P35" s="481"/>
      <c r="Q35" s="481"/>
      <c r="T35" s="26"/>
      <c r="V35" s="26"/>
      <c r="W35" s="26"/>
      <c r="X35" s="26"/>
      <c r="Y35" s="26"/>
      <c r="Z35" s="26"/>
      <c r="AA35" s="26"/>
      <c r="AB35" s="26"/>
      <c r="AC35" s="26"/>
      <c r="AD35" s="26"/>
      <c r="AE35" s="26"/>
    </row>
    <row r="36" spans="1:31" ht="24" customHeight="1" x14ac:dyDescent="0.3">
      <c r="E36" s="481"/>
      <c r="F36" s="481"/>
      <c r="G36" s="481"/>
      <c r="H36" s="481"/>
      <c r="I36" s="481"/>
      <c r="J36" s="481"/>
      <c r="K36" s="481"/>
      <c r="L36" s="481"/>
      <c r="M36" s="481"/>
      <c r="N36" s="481"/>
      <c r="O36" s="481"/>
      <c r="P36" s="481"/>
      <c r="Q36" s="481"/>
      <c r="T36" s="26"/>
    </row>
    <row r="37" spans="1:31" ht="10.5" customHeight="1" x14ac:dyDescent="0.3">
      <c r="A37" s="47"/>
      <c r="T37" s="26"/>
    </row>
    <row r="38" spans="1:31" ht="19.5" customHeight="1" x14ac:dyDescent="0.3">
      <c r="A38" s="47"/>
      <c r="E38" s="81" t="s">
        <v>103</v>
      </c>
      <c r="F38" s="81"/>
      <c r="K38" s="82"/>
      <c r="L38" s="82"/>
      <c r="M38" s="82"/>
      <c r="N38" s="82"/>
      <c r="O38" s="82"/>
      <c r="P38" s="82"/>
      <c r="R38" s="82"/>
      <c r="T38" s="26"/>
    </row>
    <row r="39" spans="1:31" ht="19.5" customHeight="1" x14ac:dyDescent="0.3">
      <c r="A39" s="47"/>
      <c r="H39" s="482"/>
      <c r="I39" s="482"/>
      <c r="J39" s="482"/>
      <c r="K39" s="482"/>
      <c r="L39" s="482"/>
      <c r="M39" s="482"/>
      <c r="N39" s="482"/>
      <c r="O39" s="482"/>
      <c r="P39" s="482"/>
      <c r="Q39" s="482"/>
      <c r="R39" s="482"/>
      <c r="T39" s="26"/>
    </row>
    <row r="40" spans="1:31" ht="19.5" customHeight="1" x14ac:dyDescent="0.3">
      <c r="A40" s="47"/>
      <c r="K40" s="2"/>
      <c r="T40" s="26"/>
    </row>
    <row r="41" spans="1:31" ht="19.5" customHeight="1" x14ac:dyDescent="0.3">
      <c r="A41" s="47"/>
      <c r="T41" s="26"/>
    </row>
    <row r="42" spans="1:31" ht="19.5" customHeight="1" x14ac:dyDescent="0.3">
      <c r="T42" s="26"/>
    </row>
    <row r="43" spans="1:31" ht="19.5" customHeight="1" x14ac:dyDescent="0.3">
      <c r="A43" s="26"/>
      <c r="B43" s="26"/>
      <c r="C43" s="26"/>
      <c r="T43" s="26"/>
    </row>
    <row r="44" spans="1:31" ht="19.5" customHeight="1" x14ac:dyDescent="0.3">
      <c r="A44" s="26"/>
      <c r="B44" s="26"/>
      <c r="C44" s="26"/>
      <c r="T44" s="26"/>
    </row>
    <row r="45" spans="1:31" ht="19.5" customHeight="1" x14ac:dyDescent="0.3">
      <c r="A45" s="26"/>
      <c r="B45" s="26"/>
      <c r="C45" s="26"/>
      <c r="T45" s="26"/>
    </row>
    <row r="46" spans="1:31" ht="19.5" customHeight="1" x14ac:dyDescent="0.3">
      <c r="A46" s="26"/>
      <c r="B46" s="26"/>
      <c r="C46" s="26"/>
      <c r="T46" s="26"/>
    </row>
    <row r="47" spans="1:31" ht="19.5" customHeight="1" x14ac:dyDescent="0.3">
      <c r="A47" s="26"/>
      <c r="B47" s="26"/>
      <c r="C47" s="26"/>
      <c r="T47" s="26"/>
    </row>
    <row r="48" spans="1:31" ht="19.5" customHeight="1" x14ac:dyDescent="0.3">
      <c r="A48" s="26"/>
      <c r="B48" s="26"/>
      <c r="C48" s="26"/>
      <c r="T48" s="26"/>
    </row>
    <row r="49" spans="1:20" ht="19.5" customHeight="1" x14ac:dyDescent="0.3">
      <c r="A49" s="26"/>
      <c r="B49" s="26"/>
      <c r="C49" s="26"/>
      <c r="T49" s="26"/>
    </row>
    <row r="50" spans="1:20" ht="19.5" customHeight="1" x14ac:dyDescent="0.3">
      <c r="A50" s="26"/>
      <c r="B50" s="26"/>
      <c r="C50" s="26"/>
    </row>
    <row r="51" spans="1:20" ht="19.5" customHeight="1" x14ac:dyDescent="0.3"/>
    <row r="52" spans="1:20" ht="19.5" customHeight="1" x14ac:dyDescent="0.3">
      <c r="H52" s="83"/>
      <c r="I52" s="83"/>
      <c r="J52" s="83"/>
      <c r="K52" s="83"/>
    </row>
    <row r="53" spans="1:20" ht="19.5" customHeight="1" x14ac:dyDescent="0.3">
      <c r="H53" s="83"/>
      <c r="I53" s="83"/>
      <c r="J53" s="83"/>
      <c r="K53" s="83"/>
    </row>
    <row r="54" spans="1:20" ht="19.5" customHeight="1" x14ac:dyDescent="0.3">
      <c r="H54" s="83"/>
      <c r="I54" s="83"/>
      <c r="J54" s="83"/>
      <c r="K54" s="83"/>
    </row>
    <row r="55" spans="1:20" ht="19.5" customHeight="1" x14ac:dyDescent="0.3">
      <c r="H55" s="83"/>
      <c r="I55" s="83"/>
      <c r="J55" s="83"/>
      <c r="K55" s="83"/>
    </row>
    <row r="56" spans="1:20" ht="19.5" customHeight="1" x14ac:dyDescent="0.3">
      <c r="H56" s="83"/>
      <c r="I56" s="83"/>
      <c r="J56" s="83"/>
      <c r="K56" s="83"/>
    </row>
    <row r="57" spans="1:20" ht="19.5" customHeight="1" x14ac:dyDescent="0.3">
      <c r="H57" s="83"/>
      <c r="I57" s="83"/>
      <c r="J57" s="83"/>
      <c r="K57" s="83"/>
    </row>
    <row r="58" spans="1:20" ht="19.5" customHeight="1" x14ac:dyDescent="0.3">
      <c r="H58" s="83"/>
      <c r="I58" s="83"/>
      <c r="J58" s="83"/>
      <c r="K58" s="83"/>
    </row>
    <row r="59" spans="1:20" ht="19.5" customHeight="1" x14ac:dyDescent="0.3">
      <c r="H59" s="83"/>
      <c r="I59" s="83"/>
      <c r="J59" s="83"/>
      <c r="K59" s="83"/>
    </row>
    <row r="60" spans="1:20" ht="19.5" customHeight="1" x14ac:dyDescent="0.3">
      <c r="H60" s="83"/>
      <c r="I60" s="83"/>
      <c r="J60" s="83"/>
      <c r="K60" s="83"/>
    </row>
    <row r="61" spans="1:20" ht="19.5" customHeight="1" x14ac:dyDescent="0.3">
      <c r="H61" s="83"/>
      <c r="I61" s="83"/>
      <c r="J61" s="83"/>
      <c r="K61" s="83"/>
    </row>
    <row r="62" spans="1:20" ht="19.5" customHeight="1" x14ac:dyDescent="0.3">
      <c r="H62" s="83"/>
      <c r="I62" s="83"/>
      <c r="J62" s="83"/>
      <c r="K62" s="83"/>
      <c r="L62" s="83"/>
      <c r="M62" s="83"/>
      <c r="N62" s="83"/>
      <c r="O62" s="83"/>
      <c r="P62" s="83"/>
      <c r="Q62" s="83"/>
      <c r="R62" s="83"/>
    </row>
    <row r="63" spans="1:20" ht="19.5" customHeight="1" x14ac:dyDescent="0.3">
      <c r="H63" s="83"/>
      <c r="I63" s="83"/>
      <c r="K63" s="83"/>
      <c r="L63" s="83"/>
      <c r="M63" s="83"/>
      <c r="N63" s="83"/>
      <c r="O63" s="83"/>
      <c r="P63" s="83"/>
      <c r="Q63" s="83"/>
      <c r="R63" s="83"/>
    </row>
    <row r="64" spans="1:20" ht="19.5" customHeight="1" x14ac:dyDescent="0.3">
      <c r="H64" s="83"/>
      <c r="I64" s="83"/>
      <c r="K64" s="2"/>
    </row>
    <row r="65" spans="8:18" ht="19.5" customHeight="1" x14ac:dyDescent="0.3">
      <c r="H65" s="83"/>
      <c r="I65" s="83"/>
      <c r="J65" s="84"/>
      <c r="K65" s="84"/>
      <c r="L65" s="84"/>
      <c r="M65" s="84"/>
      <c r="N65" s="84"/>
      <c r="O65" s="84"/>
      <c r="P65" s="84"/>
      <c r="Q65" s="84"/>
      <c r="R65" s="84"/>
    </row>
    <row r="66" spans="8:18" ht="19.5" customHeight="1" x14ac:dyDescent="0.3">
      <c r="H66" s="83"/>
      <c r="I66" s="83"/>
      <c r="J66" s="84"/>
      <c r="K66" s="84"/>
      <c r="L66" s="84"/>
      <c r="M66" s="84"/>
      <c r="N66" s="84"/>
      <c r="O66" s="84"/>
      <c r="P66" s="84"/>
      <c r="Q66" s="84"/>
      <c r="R66" s="84"/>
    </row>
    <row r="67" spans="8:18" ht="19.5" customHeight="1" x14ac:dyDescent="0.3">
      <c r="H67" s="83"/>
      <c r="I67" s="83"/>
      <c r="K67" s="2"/>
    </row>
    <row r="68" spans="8:18" ht="19.5" customHeight="1" x14ac:dyDescent="0.3">
      <c r="H68" s="83"/>
      <c r="I68" s="83"/>
    </row>
    <row r="69" spans="8:18" ht="19.5" customHeight="1" x14ac:dyDescent="0.3">
      <c r="H69" s="83"/>
      <c r="I69" s="83"/>
    </row>
    <row r="70" spans="8:18" ht="19.5" customHeight="1" x14ac:dyDescent="0.3">
      <c r="H70" s="83"/>
      <c r="I70" s="83"/>
    </row>
    <row r="71" spans="8:18" ht="19.5" customHeight="1" x14ac:dyDescent="0.3">
      <c r="H71" s="83"/>
      <c r="I71" s="83"/>
    </row>
    <row r="72" spans="8:18" ht="19.5" customHeight="1" x14ac:dyDescent="0.3">
      <c r="H72" s="83"/>
      <c r="I72" s="83"/>
    </row>
    <row r="73" spans="8:18" ht="19.5" customHeight="1" x14ac:dyDescent="0.3">
      <c r="H73" s="83"/>
      <c r="I73" s="83"/>
    </row>
    <row r="74" spans="8:18" ht="19.5" customHeight="1" x14ac:dyDescent="0.3">
      <c r="H74" s="83"/>
      <c r="I74" s="83"/>
    </row>
    <row r="75" spans="8:18" ht="19.5" customHeight="1" x14ac:dyDescent="0.3">
      <c r="H75" s="83"/>
      <c r="I75" s="83"/>
    </row>
    <row r="76" spans="8:18" ht="19.5" customHeight="1" x14ac:dyDescent="0.3"/>
    <row r="77" spans="8:18" ht="19.5" customHeight="1" x14ac:dyDescent="0.3"/>
    <row r="78" spans="8:18" ht="19.5" customHeight="1" x14ac:dyDescent="0.3"/>
    <row r="79" spans="8:18" ht="19.5" customHeight="1" x14ac:dyDescent="0.3"/>
    <row r="80" spans="8:18" ht="19.5" customHeight="1" x14ac:dyDescent="0.3"/>
    <row r="81" ht="19.5" customHeight="1" x14ac:dyDescent="0.3"/>
    <row r="82" ht="19.5" customHeight="1" x14ac:dyDescent="0.3"/>
    <row r="83" ht="19.5" customHeight="1" x14ac:dyDescent="0.3"/>
    <row r="84" ht="19.5" customHeight="1" x14ac:dyDescent="0.3"/>
    <row r="85" ht="19.5" customHeight="1" x14ac:dyDescent="0.3"/>
    <row r="86" ht="19.5" customHeight="1" x14ac:dyDescent="0.3"/>
    <row r="87" ht="19.5" customHeight="1" x14ac:dyDescent="0.3"/>
    <row r="88" ht="19.5" customHeight="1" x14ac:dyDescent="0.3"/>
    <row r="89" ht="19.5" customHeight="1" x14ac:dyDescent="0.3"/>
    <row r="90" ht="19.5" customHeight="1" x14ac:dyDescent="0.3"/>
    <row r="91" ht="19.5" customHeight="1" x14ac:dyDescent="0.3"/>
    <row r="98" hidden="1" x14ac:dyDescent="0.3"/>
    <row r="99" hidden="1" x14ac:dyDescent="0.3"/>
  </sheetData>
  <sheetProtection sheet="1" objects="1" scenarios="1"/>
  <mergeCells count="19">
    <mergeCell ref="H9:H10"/>
    <mergeCell ref="I9:J9"/>
    <mergeCell ref="K9:K10"/>
    <mergeCell ref="Q13:Q15"/>
    <mergeCell ref="E35:Q36"/>
    <mergeCell ref="H39:R39"/>
    <mergeCell ref="C1:R1"/>
    <mergeCell ref="E3:Q4"/>
    <mergeCell ref="E6:Q7"/>
    <mergeCell ref="E8:K8"/>
    <mergeCell ref="L8:L10"/>
    <mergeCell ref="M8:M10"/>
    <mergeCell ref="N8:N10"/>
    <mergeCell ref="O8:O10"/>
    <mergeCell ref="P8:P10"/>
    <mergeCell ref="Q8:Q10"/>
    <mergeCell ref="E9:E10"/>
    <mergeCell ref="F9:F10"/>
    <mergeCell ref="G9:G10"/>
  </mergeCells>
  <dataValidations count="6">
    <dataValidation type="list" operator="equal" allowBlank="1" showInputMessage="1" showErrorMessage="1" sqref="G12:G34">
      <formula1>NombrePrep</formula1>
      <formula2>0</formula2>
    </dataValidation>
    <dataValidation type="whole" operator="greaterThan" allowBlank="1" showInputMessage="1" showErrorMessage="1" sqref="J12:J34">
      <formula1>0</formula1>
      <formula2>0</formula2>
    </dataValidation>
    <dataValidation type="decimal" operator="greaterThanOrEqual" allowBlank="1" showInputMessage="1" showErrorMessage="1" sqref="M12:M34">
      <formula1>0</formula1>
      <formula2>0</formula2>
    </dataValidation>
    <dataValidation type="decimal" operator="greaterThan" allowBlank="1" showInputMessage="1" showErrorMessage="1" error="Este valor ha de ser igual o inferior al de la carga inicial del equipo." sqref="N34:O34">
      <formula1>0</formula1>
      <formula2>0</formula2>
    </dataValidation>
    <dataValidation type="decimal" allowBlank="1" showInputMessage="1" showErrorMessage="1" error="El valor ha de estar entre 0% y 100%" sqref="J52:J62">
      <formula1>#REF!</formula1>
      <formula2>#REF!</formula2>
    </dataValidation>
    <dataValidation type="decimal" allowBlank="1" showInputMessage="1" showErrorMessage="1" error="Este valor ha de ser igual o inferior al de la carga inicial del equipo." sqref="N12:N33">
      <formula1>-0.1</formula1>
      <formula2>M12</formula2>
    </dataValidation>
  </dataValidations>
  <hyperlinks>
    <hyperlink ref="A3" location="'0_Datos generales organización'!A1" display="0. Datos de la organización"/>
    <hyperlink ref="A4" location="'1_Combustibles fósiles'!A1" display="1. HC Alcance 1: Comb. fósiles"/>
    <hyperlink ref="A6" location="'3_Emisiones proceso'!A1" display="3. HC Alcance 1: Emisiones proceso"/>
    <hyperlink ref="A7" location="'4.1_Electricidad Illes Balears'!A1" display="4.1 HC 2: Electricidad I. Balears"/>
    <hyperlink ref="A8" location="'4.2_Electricidad España'!A1" display="4.2 HC 2: Electricidad España"/>
    <hyperlink ref="A9" location="'5_Información adicional'!A1" display="5. Inf. adicional: renovables"/>
    <hyperlink ref="A10" location="'6.1_Resultados Illes Balears'!A1" display="6.1 Informe final: Resultados I. Balears"/>
    <hyperlink ref="A12" location="'6.2_Resultados España'!A1" display="6.2 Informe final: Resultados España"/>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'0_Datos generales organización'!$H$52:$H$302</xm:f>
          </x14:formula1>
          <xm:sqref>E12:E33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MK223"/>
  <sheetViews>
    <sheetView showRowColHeaders="0" zoomScaleNormal="100" workbookViewId="0">
      <pane xSplit="1" topLeftCell="B1" activePane="topRight" state="frozen"/>
      <selection pane="topRight" activeCell="C1" sqref="C1:N1"/>
    </sheetView>
  </sheetViews>
  <sheetFormatPr baseColWidth="10" defaultColWidth="9.140625" defaultRowHeight="16.5" x14ac:dyDescent="0.3"/>
  <cols>
    <col min="1" max="1" width="31.85546875" style="13" customWidth="1"/>
    <col min="2" max="2" width="2" style="13" customWidth="1"/>
    <col min="3" max="3" width="1.5703125" style="13" customWidth="1"/>
    <col min="4" max="4" width="3.5703125" style="83" customWidth="1"/>
    <col min="5" max="5" width="26.28515625" style="83" customWidth="1"/>
    <col min="6" max="6" width="18.28515625" style="83" customWidth="1"/>
    <col min="7" max="7" width="44.85546875" style="83" customWidth="1"/>
    <col min="8" max="8" width="17.5703125" style="83" customWidth="1"/>
    <col min="9" max="9" width="16.5703125" style="83" customWidth="1"/>
    <col min="10" max="10" width="17.7109375" style="83" customWidth="1"/>
    <col min="11" max="11" width="18.28515625" style="83" customWidth="1"/>
    <col min="12" max="12" width="18.42578125" style="83" customWidth="1"/>
    <col min="13" max="13" width="17.28515625" style="83" customWidth="1"/>
    <col min="14" max="14" width="3.28515625" style="83" customWidth="1"/>
    <col min="15" max="15" width="6.7109375" style="83" customWidth="1"/>
    <col min="16" max="16" width="7.140625" style="83" customWidth="1"/>
    <col min="17" max="20" width="10.7109375" style="83" customWidth="1"/>
    <col min="21" max="1025" width="11.42578125" style="83"/>
  </cols>
  <sheetData>
    <row r="1" spans="1:57" s="26" customFormat="1" ht="40.700000000000003" customHeight="1" x14ac:dyDescent="0.25">
      <c r="A1" s="13"/>
      <c r="B1" s="14"/>
      <c r="C1" s="439" t="s">
        <v>104</v>
      </c>
      <c r="D1" s="439"/>
      <c r="E1" s="439"/>
      <c r="F1" s="439"/>
      <c r="G1" s="439"/>
      <c r="H1" s="439"/>
      <c r="I1" s="439"/>
      <c r="J1" s="439"/>
      <c r="K1" s="439"/>
      <c r="L1" s="439"/>
      <c r="M1" s="439"/>
      <c r="N1" s="439"/>
      <c r="O1" s="27"/>
      <c r="P1" s="27"/>
      <c r="Q1" s="27"/>
    </row>
    <row r="2" spans="1:57" s="26" customFormat="1" ht="40.700000000000003" customHeight="1" x14ac:dyDescent="0.25">
      <c r="A2" s="13"/>
      <c r="B2" s="14"/>
      <c r="C2" s="13"/>
      <c r="G2" s="27"/>
      <c r="H2" s="27"/>
      <c r="I2" s="27"/>
      <c r="J2" s="27"/>
      <c r="K2" s="27"/>
      <c r="L2" s="27"/>
      <c r="M2" s="27"/>
      <c r="N2" s="27"/>
      <c r="O2" s="27"/>
      <c r="P2" s="27"/>
      <c r="Q2" s="27"/>
    </row>
    <row r="3" spans="1:57" s="26" customFormat="1" ht="16.5" customHeight="1" x14ac:dyDescent="0.25">
      <c r="A3" s="18" t="s">
        <v>17</v>
      </c>
      <c r="B3" s="16"/>
      <c r="C3" s="13"/>
      <c r="D3" s="85"/>
      <c r="E3" s="490" t="s">
        <v>990</v>
      </c>
      <c r="F3" s="490"/>
      <c r="G3" s="490"/>
      <c r="H3" s="490"/>
      <c r="I3" s="490"/>
      <c r="J3" s="490"/>
      <c r="K3" s="490"/>
      <c r="L3" s="85"/>
      <c r="N3" s="27"/>
      <c r="O3" s="27"/>
      <c r="P3" s="27"/>
      <c r="Q3" s="27"/>
    </row>
    <row r="4" spans="1:57" s="26" customFormat="1" ht="16.5" customHeight="1" x14ac:dyDescent="0.25">
      <c r="A4" s="18" t="s">
        <v>19</v>
      </c>
      <c r="B4" s="16"/>
      <c r="C4" s="13"/>
      <c r="D4" s="85"/>
      <c r="E4" s="490"/>
      <c r="F4" s="490"/>
      <c r="G4" s="490"/>
      <c r="H4" s="490"/>
      <c r="I4" s="490"/>
      <c r="J4" s="490"/>
      <c r="K4" s="490"/>
      <c r="L4" s="85"/>
      <c r="N4" s="27"/>
      <c r="O4" s="27"/>
      <c r="P4" s="27"/>
      <c r="Q4" s="27"/>
    </row>
    <row r="5" spans="1:57" s="26" customFormat="1" ht="16.5" customHeight="1" x14ac:dyDescent="0.25">
      <c r="A5" s="18" t="s">
        <v>20</v>
      </c>
      <c r="B5" s="16"/>
      <c r="C5" s="13"/>
      <c r="D5" s="86"/>
      <c r="E5" s="490"/>
      <c r="F5" s="490"/>
      <c r="G5" s="490"/>
      <c r="H5" s="490"/>
      <c r="I5" s="490"/>
      <c r="J5" s="490"/>
      <c r="K5" s="490"/>
      <c r="L5" s="46"/>
      <c r="M5" s="46"/>
      <c r="N5" s="27"/>
      <c r="O5" s="27"/>
      <c r="P5" s="27"/>
      <c r="Q5" s="27"/>
    </row>
    <row r="6" spans="1:57" s="41" customFormat="1" ht="16.5" customHeight="1" x14ac:dyDescent="0.25">
      <c r="A6" s="15" t="s">
        <v>24</v>
      </c>
      <c r="B6" s="16"/>
      <c r="C6" s="13"/>
      <c r="D6" s="87"/>
      <c r="E6" s="490"/>
      <c r="F6" s="490"/>
      <c r="G6" s="490"/>
      <c r="H6" s="490"/>
      <c r="I6" s="490"/>
      <c r="J6" s="490"/>
      <c r="K6" s="490"/>
    </row>
    <row r="7" spans="1:57" s="41" customFormat="1" ht="16.5" customHeight="1" x14ac:dyDescent="0.3">
      <c r="A7" s="18" t="s">
        <v>26</v>
      </c>
      <c r="B7" s="16"/>
      <c r="C7" s="13"/>
      <c r="D7" s="67"/>
      <c r="E7" s="490"/>
      <c r="F7" s="490"/>
      <c r="G7" s="490"/>
      <c r="H7" s="490"/>
      <c r="I7" s="490"/>
      <c r="J7" s="490"/>
      <c r="K7" s="490"/>
      <c r="L7" s="88"/>
    </row>
    <row r="8" spans="1:57" s="41" customFormat="1" ht="16.5" customHeight="1" x14ac:dyDescent="0.3">
      <c r="A8" s="18" t="s">
        <v>27</v>
      </c>
      <c r="B8" s="16"/>
      <c r="C8" s="13"/>
      <c r="D8" s="67"/>
      <c r="E8" s="490"/>
      <c r="F8" s="490"/>
      <c r="G8" s="490"/>
      <c r="H8" s="490"/>
      <c r="I8" s="490"/>
      <c r="J8" s="490"/>
      <c r="K8" s="490"/>
      <c r="L8" s="88"/>
      <c r="M8" s="46"/>
    </row>
    <row r="9" spans="1:57" s="41" customFormat="1" ht="15" customHeight="1" x14ac:dyDescent="0.3">
      <c r="A9" s="17" t="s">
        <v>29</v>
      </c>
      <c r="B9" s="16"/>
      <c r="C9" s="13"/>
      <c r="D9" s="67"/>
      <c r="L9" s="88"/>
      <c r="M9" s="46"/>
    </row>
    <row r="10" spans="1:57" s="41" customFormat="1" ht="16.5" customHeight="1" x14ac:dyDescent="0.25">
      <c r="A10" s="18" t="s">
        <v>31</v>
      </c>
      <c r="B10" s="13"/>
      <c r="C10" s="13"/>
      <c r="D10" s="34"/>
      <c r="E10" s="487" t="s">
        <v>105</v>
      </c>
      <c r="F10" s="488"/>
      <c r="G10" s="488"/>
      <c r="H10" s="488"/>
      <c r="I10" s="488"/>
      <c r="J10" s="488"/>
      <c r="K10" s="488"/>
      <c r="L10" s="488"/>
      <c r="M10" s="489"/>
    </row>
    <row r="11" spans="1:57" s="2" customFormat="1" ht="15.75" customHeight="1" x14ac:dyDescent="0.3">
      <c r="A11" s="17" t="s">
        <v>32</v>
      </c>
      <c r="B11" s="13"/>
      <c r="C11" s="13"/>
      <c r="D11" s="34"/>
      <c r="E11" s="480" t="s">
        <v>106</v>
      </c>
      <c r="F11" s="480" t="s">
        <v>66</v>
      </c>
      <c r="G11" s="480" t="s">
        <v>107</v>
      </c>
      <c r="H11" s="457" t="s">
        <v>108</v>
      </c>
      <c r="I11" s="457" t="s">
        <v>109</v>
      </c>
      <c r="J11" s="457" t="s">
        <v>987</v>
      </c>
      <c r="K11" s="457" t="s">
        <v>1019</v>
      </c>
      <c r="L11" s="457" t="s">
        <v>988</v>
      </c>
      <c r="M11" s="457" t="s">
        <v>989</v>
      </c>
    </row>
    <row r="12" spans="1:57" s="2" customFormat="1" ht="30.75" customHeight="1" x14ac:dyDescent="0.3">
      <c r="B12" s="13"/>
      <c r="C12" s="13"/>
      <c r="D12" s="34"/>
      <c r="E12" s="480"/>
      <c r="F12" s="480" t="str">
        <f>IF(ISNUMBER('0_Datos generales organización'!F2),"","Introduzca previamente el AÑO DE CÁLCULO en la pestaña 1")</f>
        <v>Introduzca previamente el AÑO DE CÁLCULO en la pestaña 1</v>
      </c>
      <c r="G12" s="480" t="str">
        <f>IF(ISNUMBER('0_Datos generales organización'!G2),"","Introduzca previamente el AÑO DE CÁLCULO en la pestaña 1")</f>
        <v>Introduzca previamente el AÑO DE CÁLCULO en la pestaña 1</v>
      </c>
      <c r="H12" s="459"/>
      <c r="I12" s="459"/>
      <c r="J12" s="459"/>
      <c r="K12" s="459"/>
      <c r="L12" s="459"/>
      <c r="M12" s="459"/>
    </row>
    <row r="13" spans="1:57" s="2" customFormat="1" ht="18" hidden="1" customHeight="1" x14ac:dyDescent="0.3">
      <c r="A13" s="17"/>
      <c r="B13" s="13"/>
      <c r="C13" s="13"/>
      <c r="D13" s="34"/>
      <c r="E13" s="52" t="s">
        <v>65</v>
      </c>
      <c r="F13" s="54"/>
      <c r="G13" s="54"/>
      <c r="H13" s="54"/>
      <c r="I13" s="54"/>
      <c r="J13" s="89"/>
      <c r="K13" s="52" t="s">
        <v>69</v>
      </c>
      <c r="L13" s="52" t="s">
        <v>70</v>
      </c>
      <c r="M13" s="54"/>
    </row>
    <row r="14" spans="1:57" s="2" customFormat="1" ht="18.75" customHeight="1" x14ac:dyDescent="0.3">
      <c r="A14" s="17"/>
      <c r="B14" s="13"/>
      <c r="C14" s="13"/>
      <c r="D14" s="34"/>
      <c r="E14" s="410"/>
      <c r="F14" s="395" t="str">
        <f>IF(E14="","",IF(VLOOKUP(E14,'0_Datos generales organización'!$H$53:$L$300,3,FALSE)="","",VLOOKUP(E14,'0_Datos generales organización'!$H$53:$L$300,3,FALSE)))</f>
        <v/>
      </c>
      <c r="G14" s="420"/>
      <c r="H14" s="421"/>
      <c r="I14" s="422"/>
      <c r="J14" s="90" t="str">
        <f>IF(H14="","",IF(H14=Dades!$C$656,Dades!$D$656,IF(H14=Dades!$C$657,Dades!$D$657,Dades!$D$658)))</f>
        <v/>
      </c>
      <c r="K14" s="91" t="str">
        <f>IF(J14="","",IF(F14="no","",L14))</f>
        <v/>
      </c>
      <c r="L14" s="91" t="str">
        <f>IF(J14="","",I14*J14)</f>
        <v/>
      </c>
      <c r="M14" s="58">
        <f>SUM(K14:K35)</f>
        <v>0</v>
      </c>
    </row>
    <row r="15" spans="1:57" s="2" customFormat="1" ht="16.5" customHeight="1" x14ac:dyDescent="0.3">
      <c r="A15" s="17"/>
      <c r="B15" s="13"/>
      <c r="C15" s="13"/>
      <c r="E15" s="410"/>
      <c r="F15" s="395" t="str">
        <f>IF(E15="","",IF(VLOOKUP(E15,'0_Datos generales organización'!$H$53:$L$300,3,FALSE)="","",VLOOKUP(E15,'0_Datos generales organización'!$H$53:$L$300,3,FALSE)))</f>
        <v/>
      </c>
      <c r="G15" s="420"/>
      <c r="H15" s="423"/>
      <c r="I15" s="422"/>
      <c r="J15" s="90" t="str">
        <f>IF(H15="","",IF(H15=Dades!$C$656,Dades!$D$656,IF(H15=Dades!$C$657,Dades!$D$657,Dades!$D$658)))</f>
        <v/>
      </c>
      <c r="K15" s="91" t="str">
        <f t="shared" ref="K15:K35" si="0">IF(J15="","",IF(F15="no","",L15))</f>
        <v/>
      </c>
      <c r="L15" s="91" t="str">
        <f t="shared" ref="L15:L35" si="1">IF(J15="","",I15*J15)</f>
        <v/>
      </c>
      <c r="M15" s="457" t="s">
        <v>989</v>
      </c>
      <c r="AW15" s="83"/>
      <c r="AX15" s="83"/>
      <c r="AY15" s="83"/>
      <c r="AZ15" s="83"/>
      <c r="BA15" s="83"/>
      <c r="BB15" s="83"/>
      <c r="BC15" s="83"/>
      <c r="BD15" s="83"/>
      <c r="BE15" s="83"/>
    </row>
    <row r="16" spans="1:57" s="2" customFormat="1" x14ac:dyDescent="0.3">
      <c r="A16" s="13"/>
      <c r="B16" s="13"/>
      <c r="C16" s="13"/>
      <c r="E16" s="410"/>
      <c r="F16" s="395" t="str">
        <f>IF(E16="","",IF(VLOOKUP(E16,'0_Datos generales organización'!$H$53:$L$300,3,FALSE)="","",VLOOKUP(E16,'0_Datos generales organización'!$H$53:$L$300,3,FALSE)))</f>
        <v/>
      </c>
      <c r="G16" s="420"/>
      <c r="H16" s="421"/>
      <c r="I16" s="422"/>
      <c r="J16" s="90" t="str">
        <f>IF(H16="","",IF(H16=Dades!$C$656,Dades!$D$656,IF(H16=Dades!$C$657,Dades!$D$657,Dades!$D$658)))</f>
        <v/>
      </c>
      <c r="K16" s="91" t="str">
        <f t="shared" si="0"/>
        <v/>
      </c>
      <c r="L16" s="91" t="str">
        <f t="shared" si="1"/>
        <v/>
      </c>
      <c r="M16" s="458"/>
      <c r="AW16" s="83"/>
      <c r="AX16" s="83"/>
      <c r="AY16" s="83"/>
      <c r="AZ16" s="83"/>
      <c r="BA16" s="83"/>
      <c r="BB16" s="83"/>
      <c r="BC16" s="83"/>
      <c r="BD16" s="83"/>
      <c r="BE16" s="83"/>
    </row>
    <row r="17" spans="1:57" s="2" customFormat="1" x14ac:dyDescent="0.3">
      <c r="A17" s="13"/>
      <c r="B17" s="13"/>
      <c r="C17" s="13"/>
      <c r="E17" s="410"/>
      <c r="F17" s="395" t="str">
        <f>IF(E17="","",IF(VLOOKUP(E17,'0_Datos generales organización'!$H$53:$L$300,3,FALSE)="","",VLOOKUP(E17,'0_Datos generales organización'!$H$53:$L$300,3,FALSE)))</f>
        <v/>
      </c>
      <c r="G17" s="420"/>
      <c r="H17" s="421"/>
      <c r="I17" s="422"/>
      <c r="J17" s="90" t="str">
        <f>IF(H17="","",IF(H17=Dades!$C$656,Dades!$D$656,IF(H17=Dades!$C$657,Dades!$D$657,Dades!$D$658)))</f>
        <v/>
      </c>
      <c r="K17" s="91" t="str">
        <f t="shared" si="0"/>
        <v/>
      </c>
      <c r="L17" s="91" t="str">
        <f t="shared" si="1"/>
        <v/>
      </c>
      <c r="M17" s="459"/>
      <c r="AW17" s="83"/>
      <c r="AX17" s="83"/>
      <c r="AY17" s="83"/>
      <c r="AZ17" s="83"/>
      <c r="BA17" s="83"/>
      <c r="BB17" s="83"/>
      <c r="BC17" s="83"/>
      <c r="BD17" s="83"/>
      <c r="BE17" s="83"/>
    </row>
    <row r="18" spans="1:57" s="2" customFormat="1" x14ac:dyDescent="0.3">
      <c r="A18" s="13"/>
      <c r="B18" s="13"/>
      <c r="C18" s="13"/>
      <c r="E18" s="410"/>
      <c r="F18" s="395" t="str">
        <f>IF(E18="","",IF(VLOOKUP(E18,'0_Datos generales organización'!$H$53:$L$300,3,FALSE)="","",VLOOKUP(E18,'0_Datos generales organización'!$H$53:$L$300,3,FALSE)))</f>
        <v/>
      </c>
      <c r="G18" s="420"/>
      <c r="H18" s="421"/>
      <c r="I18" s="422"/>
      <c r="J18" s="90" t="str">
        <f>IF(H18="","",IF(H18=Dades!$C$656,Dades!$D$656,IF(H18=Dades!$C$657,Dades!$D$657,Dades!$D$658)))</f>
        <v/>
      </c>
      <c r="K18" s="91" t="str">
        <f t="shared" si="0"/>
        <v/>
      </c>
      <c r="L18" s="91" t="str">
        <f t="shared" si="1"/>
        <v/>
      </c>
      <c r="M18" s="58">
        <f>SUM(L14:L35)</f>
        <v>0</v>
      </c>
      <c r="AW18" s="83"/>
      <c r="AX18" s="83"/>
      <c r="AY18" s="83"/>
      <c r="AZ18" s="83"/>
      <c r="BA18" s="83"/>
      <c r="BB18" s="83"/>
      <c r="BC18" s="83"/>
      <c r="BD18" s="83"/>
      <c r="BE18" s="83"/>
    </row>
    <row r="19" spans="1:57" x14ac:dyDescent="0.3">
      <c r="E19" s="410"/>
      <c r="F19" s="395" t="str">
        <f>IF(E19="","",IF(VLOOKUP(E19,'0_Datos generales organización'!$H$53:$L$300,3,FALSE)="","",VLOOKUP(E19,'0_Datos generales organización'!$H$53:$L$300,3,FALSE)))</f>
        <v/>
      </c>
      <c r="G19" s="420"/>
      <c r="H19" s="421"/>
      <c r="I19" s="422"/>
      <c r="J19" s="90" t="str">
        <f>IF(H19="","",IF(H19=Dades!$C$656,Dades!$D$656,IF(H19=Dades!$C$657,Dades!$D$657,Dades!$D$658)))</f>
        <v/>
      </c>
      <c r="K19" s="91" t="str">
        <f t="shared" si="0"/>
        <v/>
      </c>
      <c r="L19" s="91" t="str">
        <f t="shared" si="1"/>
        <v/>
      </c>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row>
    <row r="20" spans="1:57" x14ac:dyDescent="0.3">
      <c r="E20" s="410"/>
      <c r="F20" s="395" t="str">
        <f>IF(E20="","",IF(VLOOKUP(E20,'0_Datos generales organización'!$H$53:$L$300,3,FALSE)="","",VLOOKUP(E20,'0_Datos generales organización'!$H$53:$L$300,3,FALSE)))</f>
        <v/>
      </c>
      <c r="G20" s="420"/>
      <c r="H20" s="421"/>
      <c r="I20" s="422"/>
      <c r="J20" s="90" t="str">
        <f>IF(H20="","",IF(H20=Dades!$C$656,Dades!$D$656,IF(H20=Dades!$C$657,Dades!$D$657,Dades!$D$658)))</f>
        <v/>
      </c>
      <c r="K20" s="91" t="str">
        <f t="shared" si="0"/>
        <v/>
      </c>
      <c r="L20" s="91" t="str">
        <f t="shared" si="1"/>
        <v/>
      </c>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row>
    <row r="21" spans="1:57" x14ac:dyDescent="0.3">
      <c r="E21" s="410"/>
      <c r="F21" s="395" t="str">
        <f>IF(E21="","",IF(VLOOKUP(E21,'0_Datos generales organización'!$H$53:$L$300,3,FALSE)="","",VLOOKUP(E21,'0_Datos generales organización'!$H$53:$L$300,3,FALSE)))</f>
        <v/>
      </c>
      <c r="G21" s="420"/>
      <c r="H21" s="421"/>
      <c r="I21" s="422"/>
      <c r="J21" s="90" t="str">
        <f>IF(H21="","",IF(H21=Dades!$C$656,Dades!$D$656,IF(H21=Dades!$C$657,Dades!$D$657,Dades!$D$658)))</f>
        <v/>
      </c>
      <c r="K21" s="91" t="str">
        <f t="shared" si="0"/>
        <v/>
      </c>
      <c r="L21" s="91" t="str">
        <f t="shared" si="1"/>
        <v/>
      </c>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row>
    <row r="22" spans="1:57" x14ac:dyDescent="0.3">
      <c r="E22" s="410"/>
      <c r="F22" s="395" t="str">
        <f>IF(E22="","",IF(VLOOKUP(E22,'0_Datos generales organización'!$H$53:$L$300,3,FALSE)="","",VLOOKUP(E22,'0_Datos generales organización'!$H$53:$L$300,3,FALSE)))</f>
        <v/>
      </c>
      <c r="G22" s="420"/>
      <c r="H22" s="421"/>
      <c r="I22" s="422"/>
      <c r="J22" s="90" t="str">
        <f>IF(H22="","",IF(H22=Dades!$C$656,Dades!$D$656,IF(H22=Dades!$C$657,Dades!$D$657,Dades!$D$658)))</f>
        <v/>
      </c>
      <c r="K22" s="91" t="str">
        <f t="shared" si="0"/>
        <v/>
      </c>
      <c r="L22" s="91" t="str">
        <f t="shared" si="1"/>
        <v/>
      </c>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row>
    <row r="23" spans="1:57" ht="16.5" customHeight="1" x14ac:dyDescent="0.3">
      <c r="E23" s="410"/>
      <c r="F23" s="395" t="str">
        <f>IF(E23="","",IF(VLOOKUP(E23,'0_Datos generales organización'!$H$53:$L$300,3,FALSE)="","",VLOOKUP(E23,'0_Datos generales organización'!$H$53:$L$300,3,FALSE)))</f>
        <v/>
      </c>
      <c r="G23" s="420"/>
      <c r="H23" s="421"/>
      <c r="I23" s="422"/>
      <c r="J23" s="90" t="str">
        <f>IF(H23="","",IF(H23=Dades!$C$656,Dades!$D$656,IF(H23=Dades!$C$657,Dades!$D$657,Dades!$D$658)))</f>
        <v/>
      </c>
      <c r="K23" s="91" t="str">
        <f t="shared" si="0"/>
        <v/>
      </c>
      <c r="L23" s="91" t="str">
        <f t="shared" si="1"/>
        <v/>
      </c>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row>
    <row r="24" spans="1:57" x14ac:dyDescent="0.3">
      <c r="E24" s="410"/>
      <c r="F24" s="395" t="str">
        <f>IF(E24="","",IF(VLOOKUP(E24,'0_Datos generales organización'!$H$53:$L$300,3,FALSE)="","",VLOOKUP(E24,'0_Datos generales organización'!$H$53:$L$300,3,FALSE)))</f>
        <v/>
      </c>
      <c r="G24" s="420"/>
      <c r="H24" s="421"/>
      <c r="I24" s="422"/>
      <c r="J24" s="90" t="str">
        <f>IF(H24="","",IF(H24=Dades!$C$656,Dades!$D$656,IF(H24=Dades!$C$657,Dades!$D$657,Dades!$D$658)))</f>
        <v/>
      </c>
      <c r="K24" s="91" t="str">
        <f t="shared" si="0"/>
        <v/>
      </c>
      <c r="L24" s="91" t="str">
        <f t="shared" si="1"/>
        <v/>
      </c>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spans="1:57" ht="16.5" customHeight="1" x14ac:dyDescent="0.3">
      <c r="E25" s="410"/>
      <c r="F25" s="395" t="str">
        <f>IF(E25="","",IF(VLOOKUP(E25,'0_Datos generales organización'!$H$53:$L$300,3,FALSE)="","",VLOOKUP(E25,'0_Datos generales organización'!$H$53:$L$300,3,FALSE)))</f>
        <v/>
      </c>
      <c r="G25" s="420"/>
      <c r="H25" s="421"/>
      <c r="I25" s="422"/>
      <c r="J25" s="90" t="str">
        <f>IF(H25="","",IF(H25=Dades!$C$656,Dades!$D$656,IF(H25=Dades!$C$657,Dades!$D$657,Dades!$D$658)))</f>
        <v/>
      </c>
      <c r="K25" s="91" t="str">
        <f t="shared" si="0"/>
        <v/>
      </c>
      <c r="L25" s="91" t="str">
        <f t="shared" si="1"/>
        <v/>
      </c>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57" x14ac:dyDescent="0.3">
      <c r="E26" s="410"/>
      <c r="F26" s="395" t="str">
        <f>IF(E26="","",IF(VLOOKUP(E26,'0_Datos generales organización'!$H$53:$L$300,3,FALSE)="","",VLOOKUP(E26,'0_Datos generales organización'!$H$53:$L$300,3,FALSE)))</f>
        <v/>
      </c>
      <c r="G26" s="420"/>
      <c r="H26" s="421"/>
      <c r="I26" s="422"/>
      <c r="J26" s="90" t="str">
        <f>IF(H26="","",IF(H26=Dades!$C$656,Dades!$D$656,IF(H26=Dades!$C$657,Dades!$D$657,Dades!$D$658)))</f>
        <v/>
      </c>
      <c r="K26" s="91" t="str">
        <f t="shared" si="0"/>
        <v/>
      </c>
      <c r="L26" s="91" t="str">
        <f t="shared" si="1"/>
        <v/>
      </c>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row>
    <row r="27" spans="1:57" x14ac:dyDescent="0.3">
      <c r="E27" s="410"/>
      <c r="F27" s="395" t="str">
        <f>IF(E27="","",IF(VLOOKUP(E27,'0_Datos generales organización'!$H$53:$L$300,3,FALSE)="","",VLOOKUP(E27,'0_Datos generales organización'!$H$53:$L$300,3,FALSE)))</f>
        <v/>
      </c>
      <c r="G27" s="420"/>
      <c r="H27" s="421"/>
      <c r="I27" s="422"/>
      <c r="J27" s="90" t="str">
        <f>IF(H27="","",IF(H27=Dades!$C$656,Dades!$D$656,IF(H27=Dades!$C$657,Dades!$D$657,Dades!$D$658)))</f>
        <v/>
      </c>
      <c r="K27" s="91" t="str">
        <f t="shared" si="0"/>
        <v/>
      </c>
      <c r="L27" s="91" t="str">
        <f t="shared" si="1"/>
        <v/>
      </c>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row>
    <row r="28" spans="1:57" x14ac:dyDescent="0.3">
      <c r="E28" s="410"/>
      <c r="F28" s="395" t="str">
        <f>IF(E28="","",IF(VLOOKUP(E28,'0_Datos generales organización'!$H$53:$L$300,3,FALSE)="","",VLOOKUP(E28,'0_Datos generales organización'!$H$53:$L$300,3,FALSE)))</f>
        <v/>
      </c>
      <c r="G28" s="420"/>
      <c r="H28" s="421"/>
      <c r="I28" s="422"/>
      <c r="J28" s="90" t="str">
        <f>IF(H28="","",IF(H28=Dades!$C$656,Dades!$D$656,IF(H28=Dades!$C$657,Dades!$D$657,Dades!$D$658)))</f>
        <v/>
      </c>
      <c r="K28" s="91" t="str">
        <f t="shared" si="0"/>
        <v/>
      </c>
      <c r="L28" s="91" t="str">
        <f t="shared" si="1"/>
        <v/>
      </c>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row>
    <row r="29" spans="1:57" x14ac:dyDescent="0.3">
      <c r="E29" s="410"/>
      <c r="F29" s="395" t="str">
        <f>IF(E29="","",IF(VLOOKUP(E29,'0_Datos generales organización'!$H$53:$L$300,3,FALSE)="","",VLOOKUP(E29,'0_Datos generales organización'!$H$53:$L$300,3,FALSE)))</f>
        <v/>
      </c>
      <c r="G29" s="420"/>
      <c r="H29" s="421"/>
      <c r="I29" s="422"/>
      <c r="J29" s="90" t="str">
        <f>IF(H29="","",IF(H29=Dades!$C$656,Dades!$D$656,IF(H29=Dades!$C$657,Dades!$D$657,Dades!$D$658)))</f>
        <v/>
      </c>
      <c r="K29" s="91" t="str">
        <f t="shared" si="0"/>
        <v/>
      </c>
      <c r="L29" s="91" t="str">
        <f t="shared" si="1"/>
        <v/>
      </c>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row>
    <row r="30" spans="1:57" x14ac:dyDescent="0.3">
      <c r="E30" s="410"/>
      <c r="F30" s="395" t="str">
        <f>IF(E30="","",IF(VLOOKUP(E30,'0_Datos generales organización'!$H$53:$L$300,3,FALSE)="","",VLOOKUP(E30,'0_Datos generales organización'!$H$53:$L$300,3,FALSE)))</f>
        <v/>
      </c>
      <c r="G30" s="420"/>
      <c r="H30" s="421"/>
      <c r="I30" s="422"/>
      <c r="J30" s="90" t="str">
        <f>IF(H30="","",IF(H30=Dades!$C$656,Dades!$D$656,IF(H30=Dades!$C$657,Dades!$D$657,Dades!$D$658)))</f>
        <v/>
      </c>
      <c r="K30" s="91" t="str">
        <f t="shared" si="0"/>
        <v/>
      </c>
      <c r="L30" s="91" t="str">
        <f t="shared" si="1"/>
        <v/>
      </c>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row>
    <row r="31" spans="1:57" x14ac:dyDescent="0.3">
      <c r="E31" s="410"/>
      <c r="F31" s="395" t="str">
        <f>IF(E31="","",IF(VLOOKUP(E31,'0_Datos generales organización'!$H$53:$L$300,3,FALSE)="","",VLOOKUP(E31,'0_Datos generales organización'!$H$53:$L$300,3,FALSE)))</f>
        <v/>
      </c>
      <c r="G31" s="420"/>
      <c r="H31" s="421"/>
      <c r="I31" s="422"/>
      <c r="J31" s="90" t="str">
        <f>IF(H31="","",IF(H31=Dades!$C$656,Dades!$D$656,IF(H31=Dades!$C$657,Dades!$D$657,Dades!$D$658)))</f>
        <v/>
      </c>
      <c r="K31" s="91" t="str">
        <f t="shared" si="0"/>
        <v/>
      </c>
      <c r="L31" s="91" t="str">
        <f t="shared" si="1"/>
        <v/>
      </c>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row>
    <row r="32" spans="1:57" x14ac:dyDescent="0.3">
      <c r="E32" s="410"/>
      <c r="F32" s="395" t="str">
        <f>IF(E32="","",IF(VLOOKUP(E32,'0_Datos generales organización'!$H$53:$L$300,3,FALSE)="","",VLOOKUP(E32,'0_Datos generales organización'!$H$53:$L$300,3,FALSE)))</f>
        <v/>
      </c>
      <c r="G32" s="420"/>
      <c r="H32" s="421"/>
      <c r="I32" s="422"/>
      <c r="J32" s="90" t="str">
        <f>IF(H32="","",IF(H32=Dades!$C$656,Dades!$D$656,IF(H32=Dades!$C$657,Dades!$D$657,Dades!$D$658)))</f>
        <v/>
      </c>
      <c r="K32" s="91" t="str">
        <f t="shared" si="0"/>
        <v/>
      </c>
      <c r="L32" s="91" t="str">
        <f t="shared" si="1"/>
        <v/>
      </c>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row>
    <row r="33" spans="5:48" x14ac:dyDescent="0.3">
      <c r="E33" s="410"/>
      <c r="F33" s="395" t="str">
        <f>IF(E33="","",IF(VLOOKUP(E33,'0_Datos generales organización'!$H$53:$L$300,3,FALSE)="","",VLOOKUP(E33,'0_Datos generales organización'!$H$53:$L$300,3,FALSE)))</f>
        <v/>
      </c>
      <c r="G33" s="420"/>
      <c r="H33" s="421"/>
      <c r="I33" s="422"/>
      <c r="J33" s="90" t="str">
        <f>IF(H33="","",IF(H33=Dades!$C$656,Dades!$D$656,IF(H33=Dades!$C$657,Dades!$D$657,Dades!$D$658)))</f>
        <v/>
      </c>
      <c r="K33" s="91" t="str">
        <f t="shared" si="0"/>
        <v/>
      </c>
      <c r="L33" s="91" t="str">
        <f t="shared" si="1"/>
        <v/>
      </c>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row>
    <row r="34" spans="5:48" x14ac:dyDescent="0.3">
      <c r="E34" s="410"/>
      <c r="F34" s="395" t="str">
        <f>IF(E34="","",IF(VLOOKUP(E34,'0_Datos generales organización'!$H$53:$L$300,3,FALSE)="","",VLOOKUP(E34,'0_Datos generales organización'!$H$53:$L$300,3,FALSE)))</f>
        <v/>
      </c>
      <c r="G34" s="420"/>
      <c r="H34" s="421"/>
      <c r="I34" s="422"/>
      <c r="J34" s="90" t="str">
        <f>IF(H34="","",IF(H34=Dades!$C$656,Dades!$D$656,IF(H34=Dades!$C$657,Dades!$D$657,Dades!$D$658)))</f>
        <v/>
      </c>
      <c r="K34" s="91" t="str">
        <f t="shared" si="0"/>
        <v/>
      </c>
      <c r="L34" s="91" t="str">
        <f t="shared" si="1"/>
        <v/>
      </c>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row>
    <row r="35" spans="5:48" x14ac:dyDescent="0.3">
      <c r="E35" s="410"/>
      <c r="F35" s="395" t="str">
        <f>IF(E35="","",IF(VLOOKUP(E35,'0_Datos generales organización'!$H$53:$L$300,3,FALSE)="","",VLOOKUP(E35,'0_Datos generales organización'!$H$53:$L$300,3,FALSE)))</f>
        <v/>
      </c>
      <c r="G35" s="420"/>
      <c r="H35" s="421"/>
      <c r="I35" s="422"/>
      <c r="J35" s="90" t="str">
        <f>IF(H35="","",IF(H35=Dades!$C$656,Dades!$D$656,IF(H35=Dades!$C$657,Dades!$D$657,Dades!$D$658)))</f>
        <v/>
      </c>
      <c r="K35" s="91" t="str">
        <f t="shared" si="0"/>
        <v/>
      </c>
      <c r="L35" s="91" t="str">
        <f t="shared" si="1"/>
        <v/>
      </c>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row>
    <row r="36" spans="5:48" x14ac:dyDescent="0.3">
      <c r="F36" s="84"/>
      <c r="G36" s="84"/>
      <c r="H36" s="84"/>
      <c r="I36" s="84"/>
      <c r="J36" s="84"/>
      <c r="K36" s="84"/>
      <c r="L36" s="84"/>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row>
    <row r="37" spans="5:48" x14ac:dyDescent="0.3">
      <c r="F37" s="84"/>
      <c r="G37" s="84"/>
      <c r="H37" s="84"/>
      <c r="I37" s="84"/>
      <c r="J37" s="84"/>
      <c r="K37" s="84"/>
      <c r="L37" s="84"/>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row>
    <row r="38" spans="5:48" x14ac:dyDescent="0.3">
      <c r="F38" s="84"/>
      <c r="G38" s="84"/>
      <c r="H38" s="84"/>
      <c r="I38" s="84"/>
      <c r="J38" s="84"/>
      <c r="K38" s="84"/>
      <c r="L38" s="84"/>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spans="5:48" x14ac:dyDescent="0.3">
      <c r="F39" s="84"/>
      <c r="G39" s="84"/>
      <c r="H39" s="84"/>
      <c r="I39" s="84"/>
      <c r="J39" s="84"/>
      <c r="K39" s="84"/>
      <c r="L39" s="84"/>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spans="5:48" x14ac:dyDescent="0.3">
      <c r="F40" s="84"/>
      <c r="G40" s="84"/>
      <c r="H40" s="84"/>
      <c r="I40" s="84"/>
      <c r="J40" s="84"/>
      <c r="K40" s="84"/>
      <c r="L40" s="84"/>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row>
    <row r="41" spans="5:48" x14ac:dyDescent="0.3">
      <c r="F41" s="84"/>
      <c r="G41" s="84"/>
      <c r="H41" s="84"/>
      <c r="I41" s="84"/>
      <c r="J41" s="84"/>
      <c r="K41" s="84"/>
      <c r="L41" s="84"/>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row>
    <row r="42" spans="5:48" x14ac:dyDescent="0.3">
      <c r="F42" s="84"/>
      <c r="G42" s="84"/>
      <c r="H42" s="84"/>
      <c r="I42" s="84"/>
      <c r="J42" s="84"/>
      <c r="K42" s="84"/>
      <c r="L42" s="84"/>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row>
    <row r="43" spans="5:48" x14ac:dyDescent="0.3">
      <c r="F43" s="84"/>
      <c r="G43" s="84"/>
      <c r="H43" s="84"/>
      <c r="I43" s="84"/>
      <c r="J43" s="84"/>
      <c r="K43" s="84"/>
      <c r="L43" s="84"/>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row>
    <row r="44" spans="5:48" x14ac:dyDescent="0.3">
      <c r="F44" s="84"/>
      <c r="G44" s="84"/>
      <c r="H44" s="84"/>
      <c r="I44" s="84"/>
      <c r="J44" s="84"/>
      <c r="K44" s="84"/>
      <c r="L44" s="84"/>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row>
    <row r="45" spans="5:48" x14ac:dyDescent="0.3">
      <c r="F45" s="84"/>
      <c r="G45" s="84"/>
      <c r="H45" s="84"/>
      <c r="I45" s="84"/>
      <c r="J45" s="84"/>
      <c r="K45" s="84"/>
      <c r="L45" s="84"/>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row>
    <row r="46" spans="5:48" x14ac:dyDescent="0.3">
      <c r="F46" s="84"/>
      <c r="G46" s="84"/>
      <c r="H46" s="84"/>
      <c r="I46" s="84"/>
      <c r="J46" s="84"/>
      <c r="K46" s="84"/>
      <c r="L46" s="84"/>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row>
    <row r="47" spans="5:48" x14ac:dyDescent="0.3">
      <c r="F47" s="84"/>
      <c r="G47" s="84"/>
      <c r="H47" s="84"/>
      <c r="I47" s="84"/>
      <c r="J47" s="84"/>
      <c r="K47" s="84"/>
      <c r="L47" s="84"/>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row>
    <row r="48" spans="5:48" x14ac:dyDescent="0.3">
      <c r="F48" s="84"/>
      <c r="G48" s="84"/>
      <c r="H48" s="84"/>
      <c r="I48" s="84"/>
      <c r="J48" s="84"/>
      <c r="K48" s="84"/>
      <c r="L48" s="84"/>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row>
    <row r="49" spans="6:142" x14ac:dyDescent="0.3">
      <c r="F49" s="84"/>
      <c r="G49" s="84"/>
      <c r="H49" s="84"/>
      <c r="I49" s="84"/>
      <c r="J49" s="84"/>
      <c r="K49" s="84"/>
      <c r="L49" s="84"/>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row>
    <row r="50" spans="6:142" x14ac:dyDescent="0.3">
      <c r="F50" s="84"/>
      <c r="G50" s="84"/>
      <c r="H50" s="84"/>
      <c r="I50" s="84"/>
      <c r="J50" s="84"/>
      <c r="K50" s="84"/>
      <c r="L50" s="84"/>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row>
    <row r="51" spans="6:142" x14ac:dyDescent="0.3">
      <c r="F51" s="84"/>
      <c r="G51" s="84"/>
      <c r="H51" s="84"/>
      <c r="I51" s="84"/>
      <c r="J51" s="84"/>
      <c r="K51" s="84"/>
      <c r="L51" s="84"/>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row>
    <row r="52" spans="6:142" x14ac:dyDescent="0.3">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row>
    <row r="53" spans="6:142" x14ac:dyDescent="0.3">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row>
    <row r="54" spans="6:142" x14ac:dyDescent="0.3">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row>
    <row r="55" spans="6:142" x14ac:dyDescent="0.3">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row>
    <row r="56" spans="6:142" x14ac:dyDescent="0.3">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row>
    <row r="57" spans="6:142" x14ac:dyDescent="0.3">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row>
    <row r="58" spans="6:142" x14ac:dyDescent="0.3">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row>
    <row r="59" spans="6:142" x14ac:dyDescent="0.3">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row>
    <row r="60" spans="6:142" x14ac:dyDescent="0.3">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row>
    <row r="61" spans="6:142" x14ac:dyDescent="0.3">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row>
    <row r="62" spans="6:142" x14ac:dyDescent="0.3">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row>
    <row r="63" spans="6:142" x14ac:dyDescent="0.3">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DW63" s="2"/>
      <c r="DX63" s="2"/>
      <c r="DY63" s="2"/>
      <c r="DZ63" s="2"/>
      <c r="EA63" s="2"/>
      <c r="EB63" s="2"/>
      <c r="EC63" s="2"/>
      <c r="ED63" s="2"/>
      <c r="EE63" s="2"/>
      <c r="EF63" s="2"/>
      <c r="EG63" s="2"/>
      <c r="EH63" s="2"/>
      <c r="EI63" s="2"/>
      <c r="EJ63" s="2"/>
      <c r="EK63" s="2"/>
      <c r="EL63" s="2"/>
    </row>
    <row r="64" spans="6:142" x14ac:dyDescent="0.3">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row>
    <row r="65" spans="15:142" x14ac:dyDescent="0.3">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row>
    <row r="66" spans="15:142" x14ac:dyDescent="0.3">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row>
    <row r="67" spans="15:142" x14ac:dyDescent="0.3">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row>
    <row r="68" spans="15:142" x14ac:dyDescent="0.3">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row>
    <row r="69" spans="15:142" x14ac:dyDescent="0.3">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row>
    <row r="70" spans="15:142" x14ac:dyDescent="0.3">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row>
    <row r="71" spans="15:142" x14ac:dyDescent="0.3">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row>
    <row r="72" spans="15:142" x14ac:dyDescent="0.3">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row>
    <row r="73" spans="15:142" x14ac:dyDescent="0.3">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row>
    <row r="74" spans="15:142" x14ac:dyDescent="0.3">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DW74" s="84"/>
      <c r="DX74" s="84"/>
      <c r="DY74" s="84"/>
      <c r="DZ74" s="84"/>
      <c r="EA74" s="84"/>
      <c r="EB74" s="84"/>
      <c r="EC74" s="84"/>
      <c r="ED74" s="84"/>
      <c r="EE74" s="84"/>
      <c r="EF74" s="84"/>
      <c r="EG74" s="84"/>
      <c r="EH74" s="84"/>
      <c r="EI74" s="84"/>
      <c r="EJ74" s="84"/>
      <c r="EK74" s="84"/>
      <c r="EL74" s="84"/>
    </row>
    <row r="75" spans="15:142" x14ac:dyDescent="0.3">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DW75" s="84"/>
      <c r="DX75" s="84"/>
      <c r="DY75" s="84"/>
      <c r="DZ75" s="84"/>
      <c r="EA75" s="84"/>
      <c r="EB75" s="84"/>
      <c r="EC75" s="84"/>
      <c r="ED75" s="84"/>
      <c r="EE75" s="84"/>
      <c r="EF75" s="84"/>
      <c r="EG75" s="84"/>
      <c r="EH75" s="84"/>
      <c r="EI75" s="84"/>
      <c r="EJ75" s="84"/>
      <c r="EK75" s="84"/>
      <c r="EL75" s="84"/>
    </row>
    <row r="76" spans="15:142" x14ac:dyDescent="0.3">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DW76" s="84"/>
      <c r="DX76" s="84"/>
      <c r="DY76" s="84"/>
      <c r="DZ76" s="84"/>
      <c r="EA76" s="84"/>
      <c r="EB76" s="84"/>
      <c r="EC76" s="84"/>
      <c r="ED76" s="84"/>
      <c r="EE76" s="84"/>
      <c r="EF76" s="84"/>
      <c r="EG76" s="84"/>
      <c r="EH76" s="84"/>
      <c r="EI76" s="84"/>
      <c r="EJ76" s="84"/>
      <c r="EK76" s="84"/>
      <c r="EL76" s="84"/>
    </row>
    <row r="77" spans="15:142" x14ac:dyDescent="0.3">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DW77" s="84"/>
      <c r="DX77" s="84"/>
      <c r="DY77" s="84"/>
      <c r="DZ77" s="84"/>
      <c r="EA77" s="84"/>
      <c r="EB77" s="84"/>
      <c r="EC77" s="84"/>
      <c r="ED77" s="84"/>
      <c r="EE77" s="84"/>
      <c r="EF77" s="84"/>
      <c r="EG77" s="84"/>
      <c r="EH77" s="84"/>
      <c r="EI77" s="84"/>
      <c r="EJ77" s="84"/>
      <c r="EK77" s="84"/>
      <c r="EL77" s="84"/>
    </row>
    <row r="78" spans="15:142" x14ac:dyDescent="0.3">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DW78" s="84"/>
      <c r="DX78" s="84"/>
      <c r="DY78" s="84"/>
      <c r="DZ78" s="84"/>
      <c r="EA78" s="84"/>
      <c r="EB78" s="84"/>
      <c r="EC78" s="84"/>
      <c r="ED78" s="84"/>
      <c r="EE78" s="84"/>
      <c r="EF78" s="84"/>
      <c r="EG78" s="84"/>
      <c r="EH78" s="84"/>
      <c r="EI78" s="84"/>
      <c r="EJ78" s="84"/>
      <c r="EK78" s="84"/>
      <c r="EL78" s="84"/>
    </row>
    <row r="79" spans="15:142" x14ac:dyDescent="0.3">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DW79" s="84"/>
      <c r="DX79" s="84"/>
      <c r="DY79" s="84"/>
      <c r="DZ79" s="84"/>
      <c r="EA79" s="84"/>
      <c r="EB79" s="84"/>
      <c r="EC79" s="84"/>
      <c r="ED79" s="84"/>
      <c r="EE79" s="84"/>
      <c r="EF79" s="84"/>
      <c r="EG79" s="84"/>
      <c r="EH79" s="84"/>
      <c r="EI79" s="84"/>
      <c r="EJ79" s="84"/>
      <c r="EK79" s="84"/>
      <c r="EL79" s="84"/>
    </row>
    <row r="80" spans="15:142" x14ac:dyDescent="0.3">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15:48" x14ac:dyDescent="0.3">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15:48" x14ac:dyDescent="0.3">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15:48" x14ac:dyDescent="0.3">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15:48" x14ac:dyDescent="0.3">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15:48" x14ac:dyDescent="0.3">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15:48" x14ac:dyDescent="0.3">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15:48" x14ac:dyDescent="0.3">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15:48" x14ac:dyDescent="0.3">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15:48" x14ac:dyDescent="0.3">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15:48" x14ac:dyDescent="0.3">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15:48" x14ac:dyDescent="0.3">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15:48" x14ac:dyDescent="0.3">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15:48" x14ac:dyDescent="0.3">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15:48" x14ac:dyDescent="0.3">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15:48" x14ac:dyDescent="0.3">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15:48" x14ac:dyDescent="0.3">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15:48" x14ac:dyDescent="0.3">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15:48" x14ac:dyDescent="0.3">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15:48" x14ac:dyDescent="0.3">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15:48" x14ac:dyDescent="0.3">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15:48" x14ac:dyDescent="0.3">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15:48" x14ac:dyDescent="0.3">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15:48" x14ac:dyDescent="0.3">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15:48" x14ac:dyDescent="0.3">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15:48" x14ac:dyDescent="0.3">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15:48" x14ac:dyDescent="0.3">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15:48" x14ac:dyDescent="0.3">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15:48" x14ac:dyDescent="0.3">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15:48" x14ac:dyDescent="0.3">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15:48" x14ac:dyDescent="0.3">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15:48" x14ac:dyDescent="0.3">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15:48" x14ac:dyDescent="0.3">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15:48" x14ac:dyDescent="0.3">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15:48" x14ac:dyDescent="0.3">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15:48" x14ac:dyDescent="0.3">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15:48" x14ac:dyDescent="0.3">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15:48" x14ac:dyDescent="0.3">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15:48" x14ac:dyDescent="0.3">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15:48" x14ac:dyDescent="0.3">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15:48" x14ac:dyDescent="0.3">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15:48" x14ac:dyDescent="0.3">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15:48" x14ac:dyDescent="0.3">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15:48" x14ac:dyDescent="0.3">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15:48" x14ac:dyDescent="0.3">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15:48" x14ac:dyDescent="0.3">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15:48" x14ac:dyDescent="0.3">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15:48" x14ac:dyDescent="0.3">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15:48" x14ac:dyDescent="0.3">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5:48" x14ac:dyDescent="0.3">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5:48" x14ac:dyDescent="0.3">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5:48" x14ac:dyDescent="0.3">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5:48" x14ac:dyDescent="0.3">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5:48" x14ac:dyDescent="0.3">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5:48" x14ac:dyDescent="0.3">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5:48" x14ac:dyDescent="0.3">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5:48" x14ac:dyDescent="0.3">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5:48" x14ac:dyDescent="0.3">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5:48" x14ac:dyDescent="0.3">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5:48" x14ac:dyDescent="0.3">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5:48" x14ac:dyDescent="0.3">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5:48" x14ac:dyDescent="0.3">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5:48" x14ac:dyDescent="0.3">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5:48" x14ac:dyDescent="0.3">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5:48" x14ac:dyDescent="0.3">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5:48" x14ac:dyDescent="0.3">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5:48" x14ac:dyDescent="0.3">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row>
    <row r="147" spans="15:48" x14ac:dyDescent="0.3">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row>
    <row r="148" spans="15:48" x14ac:dyDescent="0.3">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row>
    <row r="149" spans="15:48" x14ac:dyDescent="0.3">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row>
    <row r="150" spans="15:48" x14ac:dyDescent="0.3">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5:48" x14ac:dyDescent="0.3">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5:48" x14ac:dyDescent="0.3">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5:48" x14ac:dyDescent="0.3">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5:48" x14ac:dyDescent="0.3">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5:48" x14ac:dyDescent="0.3">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5:48" x14ac:dyDescent="0.3">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5:48" x14ac:dyDescent="0.3">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5:48" x14ac:dyDescent="0.3">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5:48" x14ac:dyDescent="0.3">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5:48" x14ac:dyDescent="0.3">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5:48" x14ac:dyDescent="0.3">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5:48" x14ac:dyDescent="0.3">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5:48" x14ac:dyDescent="0.3">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5:48" x14ac:dyDescent="0.3">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5:48" x14ac:dyDescent="0.3">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5:48" x14ac:dyDescent="0.3">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5:48" x14ac:dyDescent="0.3">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5:48" x14ac:dyDescent="0.3">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5:48" x14ac:dyDescent="0.3">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5:48" x14ac:dyDescent="0.3">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5:48" x14ac:dyDescent="0.3">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5:48" x14ac:dyDescent="0.3">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5:48" x14ac:dyDescent="0.3">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5:48" x14ac:dyDescent="0.3">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5:48" x14ac:dyDescent="0.3">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5:48" x14ac:dyDescent="0.3">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5:48" x14ac:dyDescent="0.3">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5:48" x14ac:dyDescent="0.3">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5:48" x14ac:dyDescent="0.3">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5:48" x14ac:dyDescent="0.3">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5:48" x14ac:dyDescent="0.3">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222" spans="6:10" x14ac:dyDescent="0.3">
      <c r="F222" s="95"/>
      <c r="G222" s="95"/>
      <c r="H222" s="95"/>
      <c r="I222" s="95"/>
      <c r="J222" s="95"/>
    </row>
    <row r="223" spans="6:10" x14ac:dyDescent="0.3">
      <c r="F223" s="95"/>
      <c r="G223" s="95"/>
      <c r="H223" s="95"/>
      <c r="I223" s="95"/>
      <c r="J223" s="95"/>
    </row>
  </sheetData>
  <sheetProtection sheet="1" objects="1" scenarios="1"/>
  <mergeCells count="13">
    <mergeCell ref="E10:M10"/>
    <mergeCell ref="F11:F12"/>
    <mergeCell ref="L11:L12"/>
    <mergeCell ref="C1:N1"/>
    <mergeCell ref="M15:M17"/>
    <mergeCell ref="E11:E12"/>
    <mergeCell ref="G11:G12"/>
    <mergeCell ref="H11:H12"/>
    <mergeCell ref="I11:I12"/>
    <mergeCell ref="J11:J12"/>
    <mergeCell ref="K11:K12"/>
    <mergeCell ref="E3:K8"/>
    <mergeCell ref="M11:M12"/>
  </mergeCells>
  <dataValidations count="2">
    <dataValidation operator="equal" allowBlank="1" showInputMessage="1" showErrorMessage="1" sqref="F14:G35">
      <formula1>0</formula1>
      <formula2>0</formula2>
    </dataValidation>
    <dataValidation type="decimal" operator="greaterThan" allowBlank="1" showInputMessage="1" showErrorMessage="1" sqref="I14:I35">
      <formula1>0</formula1>
    </dataValidation>
  </dataValidations>
  <hyperlinks>
    <hyperlink ref="A3" location="'0_Datos generales organización'!A1" display="0. Datos de la organización"/>
    <hyperlink ref="A4" location="'1_Combustibles fósiles'!A1" display="1. HC Alcance 1: Comb. fósiles"/>
    <hyperlink ref="A5" location="'2_Fluorados'!A1" display="2. HC Alcance 1: Fugas fluorados"/>
    <hyperlink ref="A7" location="'4.1_Electricidad Illes Balears'!A1" display="4.1 HC 2: Electricidad I. Balears"/>
    <hyperlink ref="A8" location="'4.2_Electricidad España'!A1" display="4.2 HC 2: Electricidad España"/>
    <hyperlink ref="A9" location="'5_Información adicional'!A1" display="5. Inf. adicional: renovables"/>
    <hyperlink ref="A10" location="'6.1_Resultados Illes Balears'!A1" display="6.1 Informe final: Resultados I. Balears"/>
    <hyperlink ref="A11" location="'6.2_Resultados España'!A1" display="6.2 Informe final: Resultados España"/>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14:formula1>
            <xm:f>Dades!$C$655:$C$658</xm:f>
          </x14:formula1>
          <x14:formula2>
            <xm:f>0</xm:f>
          </x14:formula2>
          <xm:sqref>H14:H35</xm:sqref>
        </x14:dataValidation>
        <x14:dataValidation type="list" allowBlank="1" showInputMessage="1" showErrorMessage="1">
          <x14:formula1>
            <xm:f>'0_Datos generales organización'!$H$52:$H$302</xm:f>
          </x14:formula1>
          <xm:sqref>E14:E35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MK295"/>
  <sheetViews>
    <sheetView showRowColHeaders="0" zoomScaleNormal="100" workbookViewId="0">
      <pane xSplit="1" topLeftCell="B1" activePane="topRight" state="frozen"/>
      <selection pane="topRight" activeCell="C1" sqref="C1:M1"/>
    </sheetView>
  </sheetViews>
  <sheetFormatPr baseColWidth="10" defaultColWidth="9.140625" defaultRowHeight="16.5" x14ac:dyDescent="0.3"/>
  <cols>
    <col min="1" max="1" width="32.7109375" style="13" customWidth="1"/>
    <col min="2" max="2" width="2" style="13" customWidth="1"/>
    <col min="3" max="3" width="1.5703125" style="13" customWidth="1"/>
    <col min="4" max="4" width="3.5703125" style="83" customWidth="1"/>
    <col min="5" max="5" width="26.28515625" style="83" customWidth="1"/>
    <col min="6" max="6" width="39.28515625" style="83" customWidth="1"/>
    <col min="7" max="7" width="46.28515625" style="83" customWidth="1"/>
    <col min="8" max="8" width="46.5703125" style="83" customWidth="1"/>
    <col min="9" max="9" width="16.5703125" style="83" customWidth="1"/>
    <col min="10" max="10" width="17.7109375" style="83" customWidth="1"/>
    <col min="11" max="11" width="18.28515625" style="83" customWidth="1"/>
    <col min="12" max="12" width="21.5703125" style="83" customWidth="1"/>
    <col min="13" max="13" width="2" style="83" customWidth="1"/>
    <col min="14" max="14" width="11.42578125" style="83"/>
    <col min="15" max="15" width="6.7109375" style="83" customWidth="1"/>
    <col min="16" max="16" width="7.140625" style="83" customWidth="1"/>
    <col min="17" max="20" width="10.7109375" style="83" customWidth="1"/>
    <col min="21" max="1025" width="11.42578125" style="83"/>
  </cols>
  <sheetData>
    <row r="1" spans="1:17" s="26" customFormat="1" ht="40.700000000000003" customHeight="1" x14ac:dyDescent="0.25">
      <c r="A1" s="13"/>
      <c r="B1" s="14"/>
      <c r="C1" s="439" t="s">
        <v>112</v>
      </c>
      <c r="D1" s="439"/>
      <c r="E1" s="439"/>
      <c r="F1" s="439"/>
      <c r="G1" s="439"/>
      <c r="H1" s="439"/>
      <c r="I1" s="439"/>
      <c r="J1" s="439"/>
      <c r="K1" s="439"/>
      <c r="L1" s="439"/>
      <c r="M1" s="439"/>
      <c r="N1" s="387"/>
      <c r="O1" s="27"/>
      <c r="P1" s="27"/>
      <c r="Q1" s="27"/>
    </row>
    <row r="2" spans="1:17" s="26" customFormat="1" ht="40.700000000000003" customHeight="1" x14ac:dyDescent="0.25">
      <c r="A2" s="13"/>
      <c r="B2" s="14"/>
      <c r="C2" s="13"/>
      <c r="G2" s="27"/>
      <c r="H2" s="27"/>
      <c r="I2" s="27"/>
      <c r="J2" s="27"/>
      <c r="K2" s="27"/>
      <c r="L2" s="27"/>
      <c r="M2" s="27"/>
      <c r="N2" s="27"/>
      <c r="O2" s="27"/>
      <c r="P2" s="27"/>
      <c r="Q2" s="27"/>
    </row>
    <row r="3" spans="1:17" s="26" customFormat="1" ht="16.5" customHeight="1" x14ac:dyDescent="0.25">
      <c r="A3" s="18" t="s">
        <v>17</v>
      </c>
      <c r="B3" s="16"/>
      <c r="C3" s="13"/>
      <c r="D3" s="495" t="s">
        <v>113</v>
      </c>
      <c r="E3" s="495"/>
      <c r="F3" s="495"/>
      <c r="G3" s="495"/>
      <c r="H3" s="495"/>
      <c r="I3" s="495"/>
      <c r="J3" s="495"/>
      <c r="K3" s="495"/>
      <c r="L3" s="495"/>
      <c r="N3" s="27"/>
      <c r="O3" s="27"/>
      <c r="P3" s="27"/>
      <c r="Q3" s="27"/>
    </row>
    <row r="4" spans="1:17" s="26" customFormat="1" ht="16.5" customHeight="1" x14ac:dyDescent="0.25">
      <c r="A4" s="18" t="s">
        <v>19</v>
      </c>
      <c r="B4" s="16"/>
      <c r="C4" s="13"/>
      <c r="D4" s="495"/>
      <c r="E4" s="495"/>
      <c r="F4" s="495"/>
      <c r="G4" s="495"/>
      <c r="H4" s="495"/>
      <c r="I4" s="495"/>
      <c r="J4" s="495"/>
      <c r="K4" s="495"/>
      <c r="L4" s="495"/>
      <c r="N4" s="27"/>
      <c r="O4" s="27"/>
      <c r="P4" s="27"/>
      <c r="Q4" s="27"/>
    </row>
    <row r="5" spans="1:17" s="26" customFormat="1" ht="16.5" customHeight="1" x14ac:dyDescent="0.25">
      <c r="A5" s="18" t="s">
        <v>20</v>
      </c>
      <c r="B5" s="16"/>
      <c r="C5" s="13"/>
      <c r="D5" s="87"/>
      <c r="E5" s="41"/>
      <c r="F5" s="41"/>
      <c r="G5" s="41"/>
      <c r="H5" s="41"/>
      <c r="I5" s="41"/>
      <c r="J5" s="41"/>
      <c r="K5" s="41"/>
      <c r="L5" s="46"/>
      <c r="M5" s="46"/>
      <c r="N5" s="27"/>
      <c r="O5" s="27"/>
      <c r="P5" s="27"/>
      <c r="Q5" s="27"/>
    </row>
    <row r="6" spans="1:17" s="26" customFormat="1" ht="16.5" customHeight="1" x14ac:dyDescent="0.25">
      <c r="A6" s="18" t="s">
        <v>24</v>
      </c>
      <c r="B6" s="16"/>
      <c r="C6" s="13"/>
      <c r="D6" s="469" t="s">
        <v>114</v>
      </c>
      <c r="E6" s="469"/>
      <c r="F6" s="469"/>
      <c r="G6" s="469"/>
      <c r="H6" s="469"/>
      <c r="I6" s="469"/>
      <c r="J6" s="469"/>
      <c r="K6" s="469"/>
      <c r="L6" s="469"/>
      <c r="M6" s="46"/>
      <c r="N6" s="27"/>
      <c r="O6" s="27"/>
      <c r="P6" s="27"/>
      <c r="Q6" s="27"/>
    </row>
    <row r="7" spans="1:17" s="41" customFormat="1" ht="16.5" customHeight="1" x14ac:dyDescent="0.25">
      <c r="A7" s="15" t="s">
        <v>115</v>
      </c>
      <c r="B7" s="16"/>
      <c r="C7" s="13"/>
      <c r="D7" s="87"/>
    </row>
    <row r="8" spans="1:17" s="41" customFormat="1" ht="16.5" customHeight="1" x14ac:dyDescent="0.25">
      <c r="A8" s="18" t="s">
        <v>27</v>
      </c>
      <c r="B8" s="16"/>
      <c r="C8" s="13"/>
      <c r="D8" s="483" t="s">
        <v>116</v>
      </c>
      <c r="E8" s="483"/>
      <c r="F8" s="483"/>
      <c r="G8" s="483"/>
      <c r="H8" s="483"/>
      <c r="I8" s="483"/>
      <c r="J8" s="483"/>
      <c r="K8" s="483"/>
      <c r="L8" s="88"/>
    </row>
    <row r="9" spans="1:17" s="41" customFormat="1" ht="16.5" customHeight="1" x14ac:dyDescent="0.25">
      <c r="A9" s="17" t="s">
        <v>29</v>
      </c>
      <c r="B9" s="16"/>
      <c r="C9" s="13"/>
      <c r="D9" s="483"/>
      <c r="E9" s="483"/>
      <c r="F9" s="483"/>
      <c r="G9" s="483"/>
      <c r="H9" s="483"/>
      <c r="I9" s="483"/>
      <c r="J9" s="483"/>
      <c r="K9" s="483"/>
      <c r="L9" s="88"/>
      <c r="M9" s="46"/>
    </row>
    <row r="10" spans="1:17" s="41" customFormat="1" ht="16.5" customHeight="1" x14ac:dyDescent="0.25">
      <c r="A10" s="18" t="s">
        <v>31</v>
      </c>
      <c r="B10" s="13"/>
      <c r="C10" s="13"/>
      <c r="D10" s="440" t="s">
        <v>1001</v>
      </c>
      <c r="E10" s="440"/>
      <c r="F10" s="440"/>
      <c r="G10" s="440"/>
      <c r="H10" s="440"/>
      <c r="I10" s="440"/>
      <c r="J10" s="440"/>
      <c r="K10" s="440"/>
      <c r="L10" s="88"/>
      <c r="M10" s="46"/>
    </row>
    <row r="11" spans="1:17" s="41" customFormat="1" ht="6.75" hidden="1" customHeight="1" x14ac:dyDescent="0.25">
      <c r="A11" s="17"/>
      <c r="B11" s="13"/>
      <c r="C11" s="13"/>
      <c r="D11" s="440"/>
      <c r="E11" s="440"/>
      <c r="F11" s="440"/>
      <c r="G11" s="440"/>
      <c r="H11" s="440"/>
      <c r="I11" s="440"/>
      <c r="J11" s="440"/>
      <c r="K11" s="440"/>
      <c r="L11" s="34"/>
      <c r="M11" s="69"/>
    </row>
    <row r="12" spans="1:17" s="2" customFormat="1" ht="16.5" customHeight="1" x14ac:dyDescent="0.3">
      <c r="A12" s="18" t="s">
        <v>32</v>
      </c>
      <c r="B12" s="13"/>
      <c r="C12" s="13"/>
      <c r="D12" s="440"/>
      <c r="E12" s="440"/>
      <c r="F12" s="440"/>
      <c r="G12" s="440"/>
      <c r="H12" s="440"/>
      <c r="I12" s="440"/>
      <c r="J12" s="440"/>
      <c r="K12" s="440"/>
      <c r="L12" s="88"/>
      <c r="M12" s="46"/>
    </row>
    <row r="13" spans="1:17" s="2" customFormat="1" ht="16.5" customHeight="1" x14ac:dyDescent="0.3">
      <c r="A13" s="18"/>
      <c r="B13" s="13"/>
      <c r="C13" s="13"/>
      <c r="D13" s="440"/>
      <c r="E13" s="440"/>
      <c r="F13" s="440"/>
      <c r="G13" s="440"/>
      <c r="H13" s="440"/>
      <c r="I13" s="440"/>
      <c r="J13" s="440"/>
      <c r="K13" s="440"/>
      <c r="L13" s="88"/>
      <c r="M13" s="46"/>
    </row>
    <row r="14" spans="1:17" s="2" customFormat="1" ht="15.6" customHeight="1" x14ac:dyDescent="0.3">
      <c r="A14" s="17"/>
      <c r="B14" s="13"/>
      <c r="C14" s="13"/>
      <c r="D14" s="440"/>
      <c r="E14" s="440"/>
      <c r="F14" s="440"/>
      <c r="G14" s="440"/>
      <c r="H14" s="440"/>
      <c r="I14" s="440"/>
      <c r="J14" s="440"/>
      <c r="K14" s="440"/>
      <c r="L14" s="88"/>
      <c r="M14" s="46"/>
    </row>
    <row r="15" spans="1:17" s="2" customFormat="1" ht="18.75" customHeight="1" x14ac:dyDescent="0.3">
      <c r="A15" s="17"/>
      <c r="B15" s="13"/>
      <c r="C15" s="13"/>
      <c r="D15" s="440"/>
      <c r="E15" s="440"/>
      <c r="F15" s="440"/>
      <c r="G15" s="440"/>
      <c r="H15" s="440"/>
      <c r="I15" s="440"/>
      <c r="J15" s="440"/>
      <c r="K15" s="440"/>
      <c r="L15" s="92"/>
      <c r="M15" s="46"/>
    </row>
    <row r="16" spans="1:17" s="2" customFormat="1" ht="18.75" customHeight="1" x14ac:dyDescent="0.3">
      <c r="A16" s="18"/>
      <c r="B16" s="13"/>
      <c r="C16" s="13"/>
      <c r="D16" s="493" t="str">
        <f>IF(ISNUMBER('0_Datos generales organización'!$G$3),"",IF(OR(ISNUMBER(H21),ISNUMBER(H22),ISNUMBER(H23),ISNUMBER(H24),ISNUMBER(H25),ISNUMBER(H26),ISNUMBER(H27),ISNUMBER(H28),ISNUMBER(H29),ISNUMBER(H30),ISNUMBER(H31),ISNUMBER(H32),ISNUMBER(H33),ISNUMBER(H34),ISNUMBER(H35),ISNUMBER(H36),ISNUMBER(H37),ISNUMBER(H38),ISNUMBER(H41),ISNUMBER(H42)),"Introduzca el AÑO DE CÁLCULO en la pestaña 0_Datos generales de la organización y en este mismo cuadro responda si dispone o no de GdO e indique la COMERCIALIZADORA que tiene contratada",""))</f>
        <v/>
      </c>
      <c r="E16" s="493"/>
      <c r="F16" s="493"/>
      <c r="G16" s="493"/>
      <c r="H16" s="493"/>
      <c r="I16" s="493"/>
      <c r="J16" s="493"/>
      <c r="K16" s="493"/>
      <c r="L16" s="493"/>
      <c r="M16" s="46"/>
    </row>
    <row r="17" spans="1:17" s="2" customFormat="1" ht="22.5" customHeight="1" x14ac:dyDescent="0.35">
      <c r="A17" s="47"/>
      <c r="B17" s="13"/>
      <c r="C17" s="13"/>
      <c r="D17" s="96"/>
      <c r="E17" s="494" t="s">
        <v>117</v>
      </c>
      <c r="F17" s="494"/>
      <c r="G17" s="494"/>
      <c r="H17" s="494"/>
      <c r="I17" s="494"/>
      <c r="J17" s="494"/>
      <c r="K17" s="494"/>
      <c r="Q17" s="97"/>
    </row>
    <row r="18" spans="1:17" s="2" customFormat="1" ht="24.75" customHeight="1" x14ac:dyDescent="0.35">
      <c r="A18" s="47"/>
      <c r="B18" s="13"/>
      <c r="C18" s="13"/>
      <c r="D18" s="98"/>
      <c r="E18" s="480" t="s">
        <v>65</v>
      </c>
      <c r="F18" s="480" t="s">
        <v>118</v>
      </c>
      <c r="G18" s="480" t="s">
        <v>1002</v>
      </c>
      <c r="H18" s="480" t="s">
        <v>120</v>
      </c>
      <c r="I18" s="486" t="s">
        <v>121</v>
      </c>
      <c r="J18" s="480" t="s">
        <v>110</v>
      </c>
      <c r="K18" s="480" t="s">
        <v>122</v>
      </c>
      <c r="Q18" s="97"/>
    </row>
    <row r="19" spans="1:17" s="2" customFormat="1" ht="15.75" customHeight="1" x14ac:dyDescent="0.3">
      <c r="A19" s="47"/>
      <c r="B19" s="13"/>
      <c r="C19" s="13"/>
      <c r="E19" s="480"/>
      <c r="F19" s="480"/>
      <c r="G19" s="480"/>
      <c r="H19" s="480"/>
      <c r="I19" s="486"/>
      <c r="J19" s="480"/>
      <c r="K19" s="480"/>
    </row>
    <row r="20" spans="1:17" s="2" customFormat="1" ht="13.5" hidden="1" customHeight="1" x14ac:dyDescent="0.3">
      <c r="A20" s="47"/>
      <c r="B20" s="13"/>
      <c r="C20" s="13"/>
      <c r="E20" s="52" t="s">
        <v>65</v>
      </c>
      <c r="F20" s="53"/>
      <c r="G20" s="53"/>
      <c r="H20" s="54"/>
      <c r="I20" s="54"/>
      <c r="J20" s="99" t="s">
        <v>70</v>
      </c>
      <c r="K20" s="74"/>
    </row>
    <row r="21" spans="1:17" s="2" customFormat="1" x14ac:dyDescent="0.3">
      <c r="A21" s="47"/>
      <c r="B21" s="13"/>
      <c r="C21" s="13"/>
      <c r="E21" s="424"/>
      <c r="F21" s="420"/>
      <c r="G21" s="421"/>
      <c r="H21" s="425"/>
      <c r="I21" s="90" t="str">
        <f>IF(H21="","",IF(OR(G21="",G21=Dades!$AC$638),Dades!$AD$638,Dades!$AD$637))</f>
        <v/>
      </c>
      <c r="J21" s="91" t="str">
        <f>IF(I21="","",H21*I21)</f>
        <v/>
      </c>
      <c r="K21" s="58">
        <f>SUM(J21:J42)</f>
        <v>0</v>
      </c>
    </row>
    <row r="22" spans="1:17" s="2" customFormat="1" ht="15" customHeight="1" x14ac:dyDescent="0.3">
      <c r="A22" s="47"/>
      <c r="B22" s="13"/>
      <c r="C22" s="13"/>
      <c r="E22" s="424"/>
      <c r="F22" s="420"/>
      <c r="G22" s="421"/>
      <c r="H22" s="425"/>
      <c r="I22" s="90" t="str">
        <f>IF(H22="","",IF(OR(G22="",G22=Dades!$AC$638),Dades!$AD$638,Dades!$AD$637))</f>
        <v/>
      </c>
      <c r="J22" s="91" t="str">
        <f t="shared" ref="J22:J42" si="0">IF(I22="","",H22*I22)</f>
        <v/>
      </c>
      <c r="K22" s="41"/>
      <c r="L22" s="41"/>
    </row>
    <row r="23" spans="1:17" s="2" customFormat="1" ht="15" customHeight="1" x14ac:dyDescent="0.3">
      <c r="A23" s="17"/>
      <c r="B23" s="13"/>
      <c r="C23" s="13"/>
      <c r="E23" s="424"/>
      <c r="F23" s="420"/>
      <c r="G23" s="421"/>
      <c r="H23" s="425"/>
      <c r="I23" s="90" t="str">
        <f>IF(H23="","",IF(OR(G23="",G23=Dades!$AC$638),Dades!$AD$638,Dades!$AD$637))</f>
        <v/>
      </c>
      <c r="J23" s="91" t="str">
        <f t="shared" si="0"/>
        <v/>
      </c>
      <c r="K23" s="41"/>
      <c r="L23" s="41"/>
    </row>
    <row r="24" spans="1:17" s="2" customFormat="1" ht="15" customHeight="1" x14ac:dyDescent="0.3">
      <c r="A24" s="17"/>
      <c r="B24" s="13"/>
      <c r="C24" s="13"/>
      <c r="E24" s="424"/>
      <c r="F24" s="420"/>
      <c r="G24" s="421"/>
      <c r="H24" s="425"/>
      <c r="I24" s="90" t="str">
        <f>IF(H24="","",IF(OR(G24="",G24=Dades!$AC$638),Dades!$AD$638,Dades!$AD$637))</f>
        <v/>
      </c>
      <c r="J24" s="91" t="str">
        <f t="shared" si="0"/>
        <v/>
      </c>
      <c r="K24" s="41"/>
      <c r="L24" s="41"/>
    </row>
    <row r="25" spans="1:17" s="2" customFormat="1" ht="15" customHeight="1" x14ac:dyDescent="0.3">
      <c r="A25" s="17"/>
      <c r="B25" s="13"/>
      <c r="C25" s="13"/>
      <c r="E25" s="424"/>
      <c r="F25" s="420"/>
      <c r="G25" s="421"/>
      <c r="H25" s="425"/>
      <c r="I25" s="90" t="str">
        <f>IF(H25="","",IF(OR(G25="",G25=Dades!$AC$638),Dades!$AD$638,Dades!$AD$637))</f>
        <v/>
      </c>
      <c r="J25" s="91" t="str">
        <f t="shared" si="0"/>
        <v/>
      </c>
      <c r="K25" s="41"/>
      <c r="L25" s="41"/>
    </row>
    <row r="26" spans="1:17" s="2" customFormat="1" ht="15" customHeight="1" x14ac:dyDescent="0.3">
      <c r="A26" s="17"/>
      <c r="B26" s="13"/>
      <c r="C26" s="13"/>
      <c r="E26" s="424"/>
      <c r="F26" s="420"/>
      <c r="G26" s="421"/>
      <c r="H26" s="425"/>
      <c r="I26" s="90" t="str">
        <f>IF(H26="","",IF(OR(G26="",G26=Dades!$AC$638),Dades!$AD$638,Dades!$AD$637))</f>
        <v/>
      </c>
      <c r="J26" s="91" t="str">
        <f t="shared" si="0"/>
        <v/>
      </c>
      <c r="K26" s="41"/>
      <c r="L26" s="41"/>
    </row>
    <row r="27" spans="1:17" s="2" customFormat="1" ht="15" customHeight="1" x14ac:dyDescent="0.3">
      <c r="A27" s="17"/>
      <c r="B27" s="13"/>
      <c r="C27" s="13"/>
      <c r="E27" s="424"/>
      <c r="F27" s="420"/>
      <c r="G27" s="421"/>
      <c r="H27" s="425"/>
      <c r="I27" s="90" t="str">
        <f>IF(H27="","",IF(OR(G27="",G27=Dades!$AC$638),Dades!$AD$638,Dades!$AD$637))</f>
        <v/>
      </c>
      <c r="J27" s="91" t="str">
        <f t="shared" si="0"/>
        <v/>
      </c>
      <c r="K27" s="41"/>
      <c r="L27" s="41"/>
    </row>
    <row r="28" spans="1:17" s="2" customFormat="1" ht="15" customHeight="1" x14ac:dyDescent="0.3">
      <c r="A28" s="17"/>
      <c r="B28" s="13"/>
      <c r="C28" s="13"/>
      <c r="E28" s="424"/>
      <c r="F28" s="420"/>
      <c r="G28" s="421"/>
      <c r="H28" s="425"/>
      <c r="I28" s="90" t="str">
        <f>IF(H28="","",IF(OR(G28="",G28=Dades!$AC$638),Dades!$AD$638,Dades!$AD$637))</f>
        <v/>
      </c>
      <c r="J28" s="91" t="str">
        <f t="shared" si="0"/>
        <v/>
      </c>
      <c r="K28" s="41"/>
      <c r="L28" s="41"/>
    </row>
    <row r="29" spans="1:17" s="2" customFormat="1" ht="15" customHeight="1" x14ac:dyDescent="0.3">
      <c r="A29" s="17"/>
      <c r="B29" s="13"/>
      <c r="C29" s="13"/>
      <c r="E29" s="424"/>
      <c r="F29" s="420"/>
      <c r="G29" s="421"/>
      <c r="H29" s="425"/>
      <c r="I29" s="90" t="str">
        <f>IF(H29="","",IF(OR(G29="",G29=Dades!$AC$638),Dades!$AD$638,Dades!$AD$637))</f>
        <v/>
      </c>
      <c r="J29" s="91" t="str">
        <f t="shared" si="0"/>
        <v/>
      </c>
      <c r="K29" s="41"/>
      <c r="L29" s="41"/>
    </row>
    <row r="30" spans="1:17" s="2" customFormat="1" ht="15" customHeight="1" x14ac:dyDescent="0.3">
      <c r="A30" s="17"/>
      <c r="B30" s="13"/>
      <c r="C30" s="13"/>
      <c r="E30" s="424"/>
      <c r="F30" s="420"/>
      <c r="G30" s="421"/>
      <c r="H30" s="425"/>
      <c r="I30" s="90" t="str">
        <f>IF(H30="","",IF(OR(G30="",G30=Dades!$AC$638),Dades!$AD$638,Dades!$AD$637))</f>
        <v/>
      </c>
      <c r="J30" s="91" t="str">
        <f t="shared" si="0"/>
        <v/>
      </c>
      <c r="K30" s="41"/>
      <c r="L30" s="41"/>
    </row>
    <row r="31" spans="1:17" s="2" customFormat="1" ht="15" customHeight="1" x14ac:dyDescent="0.3">
      <c r="A31" s="17"/>
      <c r="B31" s="13"/>
      <c r="C31" s="13"/>
      <c r="E31" s="424"/>
      <c r="F31" s="420"/>
      <c r="G31" s="421"/>
      <c r="H31" s="425"/>
      <c r="I31" s="90" t="str">
        <f>IF(H31="","",IF(OR(G31="",G31=Dades!$AC$638),Dades!$AD$638,Dades!$AD$637))</f>
        <v/>
      </c>
      <c r="J31" s="91" t="str">
        <f t="shared" si="0"/>
        <v/>
      </c>
      <c r="K31" s="41"/>
      <c r="L31" s="41"/>
    </row>
    <row r="32" spans="1:17" s="2" customFormat="1" ht="15" customHeight="1" x14ac:dyDescent="0.3">
      <c r="A32" s="17"/>
      <c r="B32" s="13"/>
      <c r="C32" s="13"/>
      <c r="E32" s="424"/>
      <c r="F32" s="420"/>
      <c r="G32" s="421"/>
      <c r="H32" s="425"/>
      <c r="I32" s="90" t="str">
        <f>IF(H32="","",IF(OR(G32="",G32=Dades!$AC$638),Dades!$AD$638,Dades!$AD$637))</f>
        <v/>
      </c>
      <c r="J32" s="91" t="str">
        <f t="shared" si="0"/>
        <v/>
      </c>
      <c r="K32" s="41"/>
      <c r="L32" s="41"/>
    </row>
    <row r="33" spans="1:17" s="2" customFormat="1" ht="15" customHeight="1" x14ac:dyDescent="0.3">
      <c r="A33" s="17"/>
      <c r="B33" s="13"/>
      <c r="C33" s="13"/>
      <c r="E33" s="424"/>
      <c r="F33" s="420"/>
      <c r="G33" s="421"/>
      <c r="H33" s="425"/>
      <c r="I33" s="90" t="str">
        <f>IF(H33="","",IF(OR(G33="",G33=Dades!$AC$638),Dades!$AD$638,Dades!$AD$637))</f>
        <v/>
      </c>
      <c r="J33" s="91" t="str">
        <f t="shared" si="0"/>
        <v/>
      </c>
      <c r="K33" s="41"/>
      <c r="L33" s="41"/>
    </row>
    <row r="34" spans="1:17" s="2" customFormat="1" ht="15" customHeight="1" x14ac:dyDescent="0.3">
      <c r="A34" s="47"/>
      <c r="B34" s="13"/>
      <c r="C34" s="13"/>
      <c r="E34" s="424"/>
      <c r="F34" s="420"/>
      <c r="G34" s="421"/>
      <c r="H34" s="425"/>
      <c r="I34" s="90" t="str">
        <f>IF(H34="","",IF(OR(G34="",G34=Dades!$AC$638),Dades!$AD$638,Dades!$AD$637))</f>
        <v/>
      </c>
      <c r="J34" s="91" t="str">
        <f t="shared" si="0"/>
        <v/>
      </c>
      <c r="K34" s="41"/>
      <c r="L34" s="41"/>
    </row>
    <row r="35" spans="1:17" s="2" customFormat="1" ht="15" customHeight="1" x14ac:dyDescent="0.3">
      <c r="A35" s="47"/>
      <c r="B35" s="13"/>
      <c r="C35" s="13"/>
      <c r="E35" s="424"/>
      <c r="F35" s="420"/>
      <c r="G35" s="421"/>
      <c r="H35" s="425"/>
      <c r="I35" s="90" t="str">
        <f>IF(H35="","",IF(OR(G35="",G35=Dades!$AC$638),Dades!$AD$638,Dades!$AD$637))</f>
        <v/>
      </c>
      <c r="J35" s="91" t="str">
        <f t="shared" si="0"/>
        <v/>
      </c>
      <c r="K35" s="41"/>
      <c r="L35" s="41"/>
    </row>
    <row r="36" spans="1:17" s="2" customFormat="1" ht="15" customHeight="1" x14ac:dyDescent="0.3">
      <c r="A36" s="47"/>
      <c r="B36" s="13"/>
      <c r="C36" s="13"/>
      <c r="E36" s="424"/>
      <c r="F36" s="420"/>
      <c r="G36" s="421"/>
      <c r="H36" s="425"/>
      <c r="I36" s="90" t="str">
        <f>IF(H36="","",IF(OR(G36="",G36=Dades!$AC$638),Dades!$AD$638,Dades!$AD$637))</f>
        <v/>
      </c>
      <c r="J36" s="91" t="str">
        <f t="shared" si="0"/>
        <v/>
      </c>
      <c r="K36" s="41"/>
      <c r="L36" s="41"/>
    </row>
    <row r="37" spans="1:17" s="2" customFormat="1" ht="15" customHeight="1" x14ac:dyDescent="0.3">
      <c r="A37" s="47"/>
      <c r="B37" s="13"/>
      <c r="C37" s="13"/>
      <c r="E37" s="424"/>
      <c r="F37" s="420"/>
      <c r="G37" s="421"/>
      <c r="H37" s="425"/>
      <c r="I37" s="90" t="str">
        <f>IF(H37="","",IF(OR(G37="",G37=Dades!$AC$638),Dades!$AD$638,Dades!$AD$637))</f>
        <v/>
      </c>
      <c r="J37" s="91" t="str">
        <f t="shared" si="0"/>
        <v/>
      </c>
      <c r="K37" s="41"/>
      <c r="L37" s="41"/>
    </row>
    <row r="38" spans="1:17" s="2" customFormat="1" x14ac:dyDescent="0.3">
      <c r="A38" s="47"/>
      <c r="B38" s="13"/>
      <c r="C38" s="13"/>
      <c r="E38" s="424"/>
      <c r="F38" s="420"/>
      <c r="G38" s="421"/>
      <c r="H38" s="425"/>
      <c r="I38" s="90" t="str">
        <f>IF(H38="","",IF(OR(G38="",G38=Dades!$AC$638),Dades!$AD$638,Dades!$AD$637))</f>
        <v/>
      </c>
      <c r="J38" s="91" t="str">
        <f t="shared" si="0"/>
        <v/>
      </c>
      <c r="K38" s="41"/>
      <c r="L38" s="41"/>
    </row>
    <row r="39" spans="1:17" s="2" customFormat="1" x14ac:dyDescent="0.3">
      <c r="A39" s="47"/>
      <c r="B39" s="13"/>
      <c r="C39" s="13"/>
      <c r="E39" s="424"/>
      <c r="F39" s="420"/>
      <c r="G39" s="421"/>
      <c r="H39" s="425"/>
      <c r="I39" s="90" t="str">
        <f>IF(H39="","",IF(OR(G39="",G39=Dades!$AC$638),Dades!$AD$638,Dades!$AD$637))</f>
        <v/>
      </c>
      <c r="J39" s="91" t="str">
        <f t="shared" si="0"/>
        <v/>
      </c>
      <c r="K39" s="41"/>
      <c r="L39" s="41"/>
    </row>
    <row r="40" spans="1:17" s="2" customFormat="1" x14ac:dyDescent="0.3">
      <c r="A40" s="47"/>
      <c r="B40" s="13"/>
      <c r="C40" s="13"/>
      <c r="E40" s="424"/>
      <c r="F40" s="420"/>
      <c r="G40" s="421"/>
      <c r="H40" s="425"/>
      <c r="I40" s="90" t="str">
        <f>IF(H40="","",IF(OR(G40="",G40=Dades!$AC$638),Dades!$AD$638,Dades!$AD$637))</f>
        <v/>
      </c>
      <c r="J40" s="91" t="str">
        <f t="shared" si="0"/>
        <v/>
      </c>
      <c r="K40" s="41"/>
      <c r="L40" s="41"/>
    </row>
    <row r="41" spans="1:17" s="2" customFormat="1" x14ac:dyDescent="0.3">
      <c r="A41" s="47"/>
      <c r="B41" s="13"/>
      <c r="C41" s="13"/>
      <c r="E41" s="424"/>
      <c r="F41" s="420"/>
      <c r="G41" s="421"/>
      <c r="H41" s="425"/>
      <c r="I41" s="90" t="str">
        <f>IF(H41="","",IF(OR(G41="",G41=Dades!$AC$638),Dades!$AD$638,Dades!$AD$637))</f>
        <v/>
      </c>
      <c r="J41" s="91" t="str">
        <f t="shared" si="0"/>
        <v/>
      </c>
      <c r="K41" s="41"/>
      <c r="L41" s="41"/>
    </row>
    <row r="42" spans="1:17" s="2" customFormat="1" x14ac:dyDescent="0.3">
      <c r="A42" s="47"/>
      <c r="B42" s="13"/>
      <c r="C42" s="13"/>
      <c r="E42" s="424"/>
      <c r="F42" s="420"/>
      <c r="G42" s="421"/>
      <c r="H42" s="425"/>
      <c r="I42" s="90" t="str">
        <f>IF(H42="","",IF(OR(G42="",G42=Dades!$AC$638),Dades!$AD$638,Dades!$AD$637))</f>
        <v/>
      </c>
      <c r="J42" s="91" t="str">
        <f t="shared" si="0"/>
        <v/>
      </c>
      <c r="K42" s="41"/>
      <c r="L42" s="41"/>
    </row>
    <row r="43" spans="1:17" s="2" customFormat="1" x14ac:dyDescent="0.3">
      <c r="A43" s="47"/>
      <c r="B43" s="13"/>
      <c r="C43" s="13"/>
    </row>
    <row r="44" spans="1:17" s="26" customFormat="1" ht="16.5" customHeight="1" x14ac:dyDescent="0.25">
      <c r="A44" s="47"/>
      <c r="B44" s="16"/>
      <c r="C44" s="13"/>
      <c r="D44" s="469" t="s">
        <v>124</v>
      </c>
      <c r="E44" s="469"/>
      <c r="F44" s="469"/>
      <c r="G44" s="469"/>
      <c r="H44" s="469"/>
      <c r="I44" s="469"/>
      <c r="J44" s="469"/>
      <c r="K44" s="469"/>
      <c r="L44" s="469"/>
      <c r="M44" s="46"/>
      <c r="N44" s="27"/>
      <c r="O44" s="27"/>
      <c r="P44" s="27"/>
      <c r="Q44" s="27"/>
    </row>
    <row r="45" spans="1:17" s="2" customFormat="1" ht="42" customHeight="1" x14ac:dyDescent="0.3">
      <c r="A45" s="47"/>
      <c r="B45" s="13"/>
      <c r="C45" s="13"/>
      <c r="D45" s="483" t="s">
        <v>125</v>
      </c>
      <c r="E45" s="483"/>
      <c r="F45" s="483"/>
      <c r="G45" s="483"/>
      <c r="H45" s="483"/>
      <c r="I45" s="483"/>
      <c r="J45" s="483"/>
      <c r="K45" s="483"/>
      <c r="L45" s="100"/>
      <c r="M45" s="46"/>
    </row>
    <row r="46" spans="1:17" s="2" customFormat="1" ht="68.25" customHeight="1" x14ac:dyDescent="0.3">
      <c r="A46" s="47"/>
      <c r="B46" s="13"/>
      <c r="C46" s="13"/>
      <c r="E46" s="440" t="s">
        <v>126</v>
      </c>
      <c r="F46" s="440"/>
      <c r="G46" s="440"/>
      <c r="H46" s="440"/>
      <c r="I46" s="440"/>
      <c r="J46" s="440"/>
      <c r="K46" s="440"/>
    </row>
    <row r="47" spans="1:17" s="2" customFormat="1" ht="25.5" customHeight="1" x14ac:dyDescent="0.3">
      <c r="A47" s="47"/>
      <c r="B47" s="13"/>
      <c r="C47" s="13"/>
      <c r="E47" s="487" t="s">
        <v>127</v>
      </c>
      <c r="F47" s="488"/>
      <c r="G47" s="488"/>
      <c r="H47" s="488"/>
      <c r="I47" s="488"/>
      <c r="J47" s="488"/>
      <c r="K47" s="488"/>
      <c r="L47" s="489"/>
    </row>
    <row r="48" spans="1:17" s="2" customFormat="1" ht="16.5" customHeight="1" x14ac:dyDescent="0.3">
      <c r="A48" s="47"/>
      <c r="B48" s="13"/>
      <c r="C48" s="13"/>
      <c r="E48" s="480" t="s">
        <v>991</v>
      </c>
      <c r="F48" s="480" t="s">
        <v>128</v>
      </c>
      <c r="G48" s="457" t="s">
        <v>129</v>
      </c>
      <c r="H48" s="457" t="s">
        <v>1002</v>
      </c>
      <c r="I48" s="457" t="s">
        <v>130</v>
      </c>
      <c r="J48" s="457" t="s">
        <v>131</v>
      </c>
      <c r="K48" s="457" t="s">
        <v>110</v>
      </c>
      <c r="L48" s="457" t="s">
        <v>132</v>
      </c>
      <c r="M48" s="68"/>
    </row>
    <row r="49" spans="1:12" s="2" customFormat="1" x14ac:dyDescent="0.3">
      <c r="A49" s="47"/>
      <c r="B49" s="13"/>
      <c r="C49" s="13"/>
      <c r="E49" s="480"/>
      <c r="F49" s="480"/>
      <c r="G49" s="459"/>
      <c r="H49" s="459"/>
      <c r="I49" s="459"/>
      <c r="J49" s="459"/>
      <c r="K49" s="459"/>
      <c r="L49" s="459"/>
    </row>
    <row r="50" spans="1:12" s="2" customFormat="1" ht="14.25" hidden="1" customHeight="1" x14ac:dyDescent="0.3">
      <c r="A50" s="47"/>
      <c r="B50" s="13"/>
      <c r="C50" s="13"/>
      <c r="E50" s="52" t="s">
        <v>65</v>
      </c>
      <c r="F50" s="53"/>
      <c r="G50" s="53"/>
      <c r="H50" s="54"/>
      <c r="I50" s="54"/>
      <c r="J50" s="99"/>
      <c r="K50" s="99" t="s">
        <v>70</v>
      </c>
      <c r="L50" s="74"/>
    </row>
    <row r="51" spans="1:12" s="2" customFormat="1" x14ac:dyDescent="0.3">
      <c r="A51" s="47"/>
      <c r="B51" s="13"/>
      <c r="C51" s="13"/>
      <c r="E51" s="424"/>
      <c r="F51" s="426"/>
      <c r="G51" s="420"/>
      <c r="H51" s="421"/>
      <c r="I51" s="425"/>
      <c r="J51" s="90" t="str">
        <f>IF(I51="","",IF(OR(H51="",H51=Dades!$AC$638),Dades!$AD$638,Dades!$AD$637))</f>
        <v/>
      </c>
      <c r="K51" s="91" t="str">
        <f>IF(J51="","",I51*J51)</f>
        <v/>
      </c>
      <c r="L51" s="58">
        <f>SUM(K51:K70)</f>
        <v>0</v>
      </c>
    </row>
    <row r="52" spans="1:12" s="2" customFormat="1" x14ac:dyDescent="0.3">
      <c r="A52" s="22"/>
      <c r="B52" s="13"/>
      <c r="C52" s="13"/>
      <c r="E52" s="424"/>
      <c r="F52" s="426"/>
      <c r="G52" s="420"/>
      <c r="H52" s="421"/>
      <c r="I52" s="425"/>
      <c r="J52" s="90" t="str">
        <f>IF(I52="","",IF(OR(H52="",H52=Dades!$AC$638),Dades!$AD$638,Dades!$AD$637))</f>
        <v/>
      </c>
      <c r="K52" s="91" t="str">
        <f t="shared" ref="K52:K70" si="1">IF(J52="","",I52*J52)</f>
        <v/>
      </c>
      <c r="L52" s="41"/>
    </row>
    <row r="53" spans="1:12" s="2" customFormat="1" x14ac:dyDescent="0.3">
      <c r="A53" s="22"/>
      <c r="B53" s="13"/>
      <c r="C53" s="13"/>
      <c r="E53" s="424"/>
      <c r="F53" s="426"/>
      <c r="G53" s="420"/>
      <c r="H53" s="421"/>
      <c r="I53" s="425"/>
      <c r="J53" s="90" t="str">
        <f>IF(I53="","",IF(OR(H53="",H53=Dades!$AC$638),Dades!$AD$638,Dades!$AD$637))</f>
        <v/>
      </c>
      <c r="K53" s="91" t="str">
        <f t="shared" si="1"/>
        <v/>
      </c>
      <c r="L53" s="41"/>
    </row>
    <row r="54" spans="1:12" s="2" customFormat="1" x14ac:dyDescent="0.3">
      <c r="A54" s="22"/>
      <c r="B54" s="13"/>
      <c r="C54" s="13"/>
      <c r="E54" s="424"/>
      <c r="F54" s="426"/>
      <c r="G54" s="420"/>
      <c r="H54" s="421"/>
      <c r="I54" s="425"/>
      <c r="J54" s="90" t="str">
        <f>IF(I54="","",IF(OR(H54="",H54=Dades!$AC$638),Dades!$AD$638,Dades!$AD$637))</f>
        <v/>
      </c>
      <c r="K54" s="91" t="str">
        <f t="shared" si="1"/>
        <v/>
      </c>
      <c r="L54" s="41"/>
    </row>
    <row r="55" spans="1:12" s="2" customFormat="1" x14ac:dyDescent="0.3">
      <c r="A55" s="13"/>
      <c r="B55" s="13"/>
      <c r="C55" s="13"/>
      <c r="E55" s="424"/>
      <c r="F55" s="426"/>
      <c r="G55" s="420"/>
      <c r="H55" s="421"/>
      <c r="I55" s="425"/>
      <c r="J55" s="90" t="str">
        <f>IF(I55="","",IF(OR(H55="",H55=Dades!$AC$638),Dades!$AD$638,Dades!$AD$637))</f>
        <v/>
      </c>
      <c r="K55" s="91" t="str">
        <f t="shared" si="1"/>
        <v/>
      </c>
      <c r="L55" s="41"/>
    </row>
    <row r="56" spans="1:12" s="2" customFormat="1" x14ac:dyDescent="0.3">
      <c r="A56" s="26"/>
      <c r="B56" s="26"/>
      <c r="C56" s="26"/>
      <c r="E56" s="424"/>
      <c r="F56" s="426"/>
      <c r="G56" s="420"/>
      <c r="H56" s="421"/>
      <c r="I56" s="425"/>
      <c r="J56" s="90" t="str">
        <f>IF(I56="","",IF(OR(H56="",H56=Dades!$AC$638),Dades!$AD$638,Dades!$AD$637))</f>
        <v/>
      </c>
      <c r="K56" s="91" t="str">
        <f t="shared" si="1"/>
        <v/>
      </c>
      <c r="L56" s="41"/>
    </row>
    <row r="57" spans="1:12" s="2" customFormat="1" x14ac:dyDescent="0.3">
      <c r="A57" s="26"/>
      <c r="B57" s="26"/>
      <c r="C57" s="26"/>
      <c r="E57" s="424"/>
      <c r="F57" s="426"/>
      <c r="G57" s="420"/>
      <c r="H57" s="421"/>
      <c r="I57" s="425"/>
      <c r="J57" s="90" t="str">
        <f>IF(I57="","",IF(OR(H57="",H57=Dades!$AC$638),Dades!$AD$638,Dades!$AD$637))</f>
        <v/>
      </c>
      <c r="K57" s="91" t="str">
        <f t="shared" si="1"/>
        <v/>
      </c>
      <c r="L57" s="41"/>
    </row>
    <row r="58" spans="1:12" s="2" customFormat="1" x14ac:dyDescent="0.3">
      <c r="A58" s="26"/>
      <c r="B58" s="26"/>
      <c r="C58" s="26"/>
      <c r="E58" s="424"/>
      <c r="F58" s="426"/>
      <c r="G58" s="420"/>
      <c r="H58" s="421"/>
      <c r="I58" s="425"/>
      <c r="J58" s="90" t="str">
        <f>IF(I58="","",IF(OR(H58="",H58=Dades!$AC$638),Dades!$AD$638,Dades!$AD$637))</f>
        <v/>
      </c>
      <c r="K58" s="91" t="str">
        <f t="shared" si="1"/>
        <v/>
      </c>
      <c r="L58" s="41"/>
    </row>
    <row r="59" spans="1:12" s="2" customFormat="1" x14ac:dyDescent="0.3">
      <c r="A59" s="26"/>
      <c r="B59" s="26"/>
      <c r="C59" s="26"/>
      <c r="E59" s="424"/>
      <c r="F59" s="426"/>
      <c r="G59" s="420"/>
      <c r="H59" s="421"/>
      <c r="I59" s="425"/>
      <c r="J59" s="90" t="str">
        <f>IF(I59="","",IF(OR(H59="",H59=Dades!$AC$638),Dades!$AD$638,Dades!$AD$637))</f>
        <v/>
      </c>
      <c r="K59" s="91" t="str">
        <f t="shared" si="1"/>
        <v/>
      </c>
      <c r="L59" s="41"/>
    </row>
    <row r="60" spans="1:12" s="2" customFormat="1" x14ac:dyDescent="0.3">
      <c r="A60" s="26"/>
      <c r="B60" s="26"/>
      <c r="C60" s="26"/>
      <c r="E60" s="424"/>
      <c r="F60" s="426"/>
      <c r="G60" s="420"/>
      <c r="H60" s="421"/>
      <c r="I60" s="425"/>
      <c r="J60" s="90" t="str">
        <f>IF(I60="","",IF(OR(H60="",H60=Dades!$AC$638),Dades!$AD$638,Dades!$AD$637))</f>
        <v/>
      </c>
      <c r="K60" s="91" t="str">
        <f t="shared" si="1"/>
        <v/>
      </c>
      <c r="L60" s="41"/>
    </row>
    <row r="61" spans="1:12" s="2" customFormat="1" x14ac:dyDescent="0.3">
      <c r="A61" s="26"/>
      <c r="B61" s="26"/>
      <c r="C61" s="26"/>
      <c r="E61" s="424"/>
      <c r="F61" s="426"/>
      <c r="G61" s="420"/>
      <c r="H61" s="421"/>
      <c r="I61" s="425"/>
      <c r="J61" s="90" t="str">
        <f>IF(I61="","",IF(OR(H61="",H61=Dades!$AC$638),Dades!$AD$638,Dades!$AD$637))</f>
        <v/>
      </c>
      <c r="K61" s="91" t="str">
        <f t="shared" si="1"/>
        <v/>
      </c>
      <c r="L61" s="41"/>
    </row>
    <row r="62" spans="1:12" s="2" customFormat="1" x14ac:dyDescent="0.3">
      <c r="A62" s="26"/>
      <c r="B62" s="26"/>
      <c r="C62" s="26"/>
      <c r="E62" s="424"/>
      <c r="F62" s="426"/>
      <c r="G62" s="420"/>
      <c r="H62" s="421"/>
      <c r="I62" s="425"/>
      <c r="J62" s="90" t="str">
        <f>IF(I62="","",IF(OR(H62="",H62=Dades!$AC$638),Dades!$AD$638,Dades!$AD$637))</f>
        <v/>
      </c>
      <c r="K62" s="91" t="str">
        <f t="shared" si="1"/>
        <v/>
      </c>
      <c r="L62" s="41"/>
    </row>
    <row r="63" spans="1:12" s="2" customFormat="1" x14ac:dyDescent="0.3">
      <c r="A63" s="26"/>
      <c r="B63" s="26"/>
      <c r="C63" s="26"/>
      <c r="E63" s="424"/>
      <c r="F63" s="426"/>
      <c r="G63" s="420"/>
      <c r="H63" s="421"/>
      <c r="I63" s="425"/>
      <c r="J63" s="90" t="str">
        <f>IF(I63="","",IF(OR(H63="",H63=Dades!$AC$638),Dades!$AD$638,Dades!$AD$637))</f>
        <v/>
      </c>
      <c r="K63" s="91" t="str">
        <f t="shared" si="1"/>
        <v/>
      </c>
      <c r="L63" s="41"/>
    </row>
    <row r="64" spans="1:12" s="2" customFormat="1" x14ac:dyDescent="0.3">
      <c r="A64" s="26"/>
      <c r="B64" s="26"/>
      <c r="C64" s="26"/>
      <c r="E64" s="424"/>
      <c r="F64" s="426"/>
      <c r="G64" s="420"/>
      <c r="H64" s="421"/>
      <c r="I64" s="425"/>
      <c r="J64" s="90" t="str">
        <f>IF(I64="","",IF(OR(H64="",H64=Dades!$AC$638),Dades!$AD$638,Dades!$AD$637))</f>
        <v/>
      </c>
      <c r="K64" s="91" t="str">
        <f t="shared" si="1"/>
        <v/>
      </c>
      <c r="L64" s="41"/>
    </row>
    <row r="65" spans="1:57" s="2" customFormat="1" x14ac:dyDescent="0.3">
      <c r="A65" s="26"/>
      <c r="B65" s="26"/>
      <c r="C65" s="26"/>
      <c r="E65" s="424"/>
      <c r="F65" s="426"/>
      <c r="G65" s="420"/>
      <c r="H65" s="421"/>
      <c r="I65" s="425"/>
      <c r="J65" s="90" t="str">
        <f>IF(I65="","",IF(OR(H65="",H65=Dades!$AC$638),Dades!$AD$638,Dades!$AD$637))</f>
        <v/>
      </c>
      <c r="K65" s="91" t="str">
        <f t="shared" si="1"/>
        <v/>
      </c>
      <c r="L65" s="41"/>
    </row>
    <row r="66" spans="1:57" s="2" customFormat="1" x14ac:dyDescent="0.3">
      <c r="A66" s="26"/>
      <c r="B66" s="26"/>
      <c r="C66" s="26"/>
      <c r="E66" s="424"/>
      <c r="F66" s="426"/>
      <c r="G66" s="420"/>
      <c r="H66" s="421"/>
      <c r="I66" s="425"/>
      <c r="J66" s="90" t="str">
        <f>IF(I66="","",IF(OR(H66="",H66=Dades!$AC$638),Dades!$AD$638,Dades!$AD$637))</f>
        <v/>
      </c>
      <c r="K66" s="91" t="str">
        <f t="shared" si="1"/>
        <v/>
      </c>
      <c r="L66" s="41"/>
    </row>
    <row r="67" spans="1:57" s="2" customFormat="1" x14ac:dyDescent="0.3">
      <c r="A67" s="26"/>
      <c r="B67" s="26"/>
      <c r="C67" s="26"/>
      <c r="E67" s="424"/>
      <c r="F67" s="426"/>
      <c r="G67" s="420"/>
      <c r="H67" s="421"/>
      <c r="I67" s="425"/>
      <c r="J67" s="90" t="str">
        <f>IF(I67="","",IF(OR(H67="",H67=Dades!$AC$638),Dades!$AD$638,Dades!$AD$637))</f>
        <v/>
      </c>
      <c r="K67" s="91" t="str">
        <f t="shared" si="1"/>
        <v/>
      </c>
      <c r="L67" s="41"/>
    </row>
    <row r="68" spans="1:57" s="2" customFormat="1" x14ac:dyDescent="0.3">
      <c r="A68" s="26"/>
      <c r="B68" s="26"/>
      <c r="C68" s="26"/>
      <c r="E68" s="424"/>
      <c r="F68" s="426"/>
      <c r="G68" s="420"/>
      <c r="H68" s="421"/>
      <c r="I68" s="425"/>
      <c r="J68" s="90" t="str">
        <f>IF(I68="","",IF(OR(H68="",H68=Dades!$AC$638),Dades!$AD$638,Dades!$AD$637))</f>
        <v/>
      </c>
      <c r="K68" s="91" t="str">
        <f t="shared" si="1"/>
        <v/>
      </c>
      <c r="L68" s="41"/>
    </row>
    <row r="69" spans="1:57" s="2" customFormat="1" x14ac:dyDescent="0.3">
      <c r="A69" s="26"/>
      <c r="B69" s="26"/>
      <c r="C69" s="26"/>
      <c r="E69" s="424"/>
      <c r="F69" s="426"/>
      <c r="G69" s="420"/>
      <c r="H69" s="421"/>
      <c r="I69" s="425"/>
      <c r="J69" s="90" t="str">
        <f>IF(I69="","",IF(OR(H69="",H69=Dades!$AC$638),Dades!$AD$638,Dades!$AD$637))</f>
        <v/>
      </c>
      <c r="K69" s="91" t="str">
        <f t="shared" si="1"/>
        <v/>
      </c>
      <c r="L69" s="41"/>
    </row>
    <row r="70" spans="1:57" s="2" customFormat="1" x14ac:dyDescent="0.3">
      <c r="A70" s="13"/>
      <c r="B70" s="13"/>
      <c r="C70" s="13"/>
      <c r="E70" s="424"/>
      <c r="F70" s="426"/>
      <c r="G70" s="420"/>
      <c r="H70" s="421"/>
      <c r="I70" s="425"/>
      <c r="J70" s="90" t="str">
        <f>IF(I70="","",IF(OR(H70="",H70=Dades!$AC$638),Dades!$AD$638,Dades!$AD$637))</f>
        <v/>
      </c>
      <c r="K70" s="91" t="str">
        <f t="shared" si="1"/>
        <v/>
      </c>
      <c r="L70" s="41"/>
    </row>
    <row r="71" spans="1:57" s="2" customFormat="1" x14ac:dyDescent="0.3">
      <c r="A71" s="13"/>
      <c r="B71" s="13"/>
      <c r="C71" s="13"/>
      <c r="J71" s="101"/>
    </row>
    <row r="72" spans="1:57" s="2" customFormat="1" x14ac:dyDescent="0.3">
      <c r="A72" s="13"/>
      <c r="B72" s="13"/>
      <c r="C72" s="13"/>
      <c r="G72" s="83"/>
      <c r="H72" s="83"/>
      <c r="I72" s="83"/>
      <c r="J72" s="83"/>
      <c r="K72" s="83"/>
      <c r="L72" s="83"/>
      <c r="M72" s="83"/>
      <c r="AW72" s="83"/>
      <c r="AX72" s="83"/>
      <c r="AY72" s="83"/>
      <c r="AZ72" s="83"/>
      <c r="BA72" s="83"/>
      <c r="BB72" s="83"/>
      <c r="BC72" s="83"/>
      <c r="BD72" s="83"/>
      <c r="BE72" s="83"/>
    </row>
    <row r="73" spans="1:57" s="2" customFormat="1" x14ac:dyDescent="0.3">
      <c r="A73" s="13"/>
      <c r="B73" s="13"/>
      <c r="C73" s="13"/>
      <c r="G73" s="83"/>
      <c r="H73" s="83"/>
      <c r="I73" s="83"/>
      <c r="J73" s="83"/>
      <c r="K73" s="83"/>
      <c r="L73" s="83"/>
      <c r="M73" s="83"/>
      <c r="AW73" s="83"/>
      <c r="AX73" s="83"/>
      <c r="AY73" s="83"/>
      <c r="AZ73" s="83"/>
      <c r="BA73" s="83"/>
      <c r="BB73" s="83"/>
      <c r="BC73" s="83"/>
      <c r="BD73" s="83"/>
      <c r="BE73" s="83"/>
    </row>
    <row r="74" spans="1:57" s="2" customFormat="1" x14ac:dyDescent="0.3">
      <c r="A74" s="13"/>
      <c r="B74" s="13"/>
      <c r="C74" s="13"/>
      <c r="G74" s="83"/>
      <c r="H74" s="83"/>
      <c r="I74" s="83"/>
      <c r="J74" s="83"/>
      <c r="K74" s="83"/>
      <c r="L74" s="83"/>
      <c r="M74" s="83"/>
      <c r="AW74" s="83"/>
      <c r="AX74" s="83"/>
      <c r="AY74" s="83"/>
      <c r="AZ74" s="83"/>
      <c r="BA74" s="83"/>
      <c r="BB74" s="83"/>
      <c r="BC74" s="83"/>
      <c r="BD74" s="83"/>
      <c r="BE74" s="83"/>
    </row>
    <row r="75" spans="1:57" s="2" customFormat="1" x14ac:dyDescent="0.3">
      <c r="A75" s="13"/>
      <c r="B75" s="13"/>
      <c r="C75" s="13"/>
      <c r="G75" s="83"/>
      <c r="H75" s="83"/>
      <c r="I75" s="83"/>
      <c r="J75" s="83"/>
      <c r="K75" s="83"/>
      <c r="L75" s="83"/>
      <c r="M75" s="83"/>
      <c r="AW75" s="83"/>
      <c r="AX75" s="83"/>
      <c r="AY75" s="83"/>
      <c r="AZ75" s="83"/>
      <c r="BA75" s="83"/>
      <c r="BB75" s="83"/>
      <c r="BC75" s="83"/>
      <c r="BD75" s="83"/>
      <c r="BE75" s="83"/>
    </row>
    <row r="76" spans="1:57" s="2" customFormat="1" x14ac:dyDescent="0.3">
      <c r="A76" s="13"/>
      <c r="B76" s="13"/>
      <c r="C76" s="13"/>
      <c r="G76" s="83"/>
      <c r="H76" s="83"/>
      <c r="I76" s="83"/>
      <c r="J76" s="83"/>
      <c r="K76" s="83"/>
      <c r="L76" s="83"/>
      <c r="M76" s="83"/>
      <c r="AW76" s="83"/>
      <c r="AX76" s="83"/>
      <c r="AY76" s="83"/>
      <c r="AZ76" s="83"/>
      <c r="BA76" s="83"/>
      <c r="BB76" s="83"/>
      <c r="BC76" s="83"/>
      <c r="BD76" s="83"/>
      <c r="BE76" s="83"/>
    </row>
    <row r="77" spans="1:57" s="2" customFormat="1" x14ac:dyDescent="0.3">
      <c r="A77" s="13"/>
      <c r="B77" s="13"/>
      <c r="C77" s="13"/>
      <c r="G77" s="83"/>
      <c r="H77" s="83"/>
      <c r="I77" s="83"/>
      <c r="J77" s="83"/>
      <c r="K77" s="83"/>
      <c r="L77" s="83"/>
      <c r="M77" s="83"/>
      <c r="AW77" s="83"/>
      <c r="AX77" s="83"/>
      <c r="AY77" s="83"/>
      <c r="AZ77" s="83"/>
      <c r="BA77" s="83"/>
      <c r="BB77" s="83"/>
      <c r="BC77" s="83"/>
      <c r="BD77" s="83"/>
      <c r="BE77" s="83"/>
    </row>
    <row r="78" spans="1:57" s="2" customFormat="1" x14ac:dyDescent="0.3">
      <c r="A78" s="13"/>
      <c r="B78" s="13"/>
      <c r="C78" s="13"/>
      <c r="G78" s="83"/>
      <c r="H78" s="83"/>
      <c r="I78" s="83"/>
      <c r="J78" s="83"/>
      <c r="K78" s="83"/>
      <c r="L78" s="83"/>
      <c r="M78" s="83"/>
      <c r="AW78" s="83"/>
      <c r="AX78" s="83"/>
      <c r="AY78" s="83"/>
      <c r="AZ78" s="83"/>
      <c r="BA78" s="83"/>
      <c r="BB78" s="83"/>
      <c r="BC78" s="83"/>
      <c r="BD78" s="83"/>
      <c r="BE78" s="83"/>
    </row>
    <row r="79" spans="1:57" s="2" customFormat="1" x14ac:dyDescent="0.3">
      <c r="A79" s="13"/>
      <c r="B79" s="13"/>
      <c r="C79" s="13"/>
      <c r="G79" s="83"/>
      <c r="H79" s="83"/>
      <c r="I79" s="83"/>
      <c r="J79" s="83"/>
      <c r="K79" s="83"/>
      <c r="L79" s="83"/>
      <c r="M79" s="83"/>
      <c r="AW79" s="83"/>
      <c r="AX79" s="83"/>
      <c r="AY79" s="83"/>
      <c r="AZ79" s="83"/>
      <c r="BA79" s="83"/>
      <c r="BB79" s="83"/>
      <c r="BC79" s="83"/>
      <c r="BD79" s="83"/>
      <c r="BE79" s="83"/>
    </row>
    <row r="80" spans="1:57" s="2" customFormat="1" x14ac:dyDescent="0.3">
      <c r="A80" s="13"/>
      <c r="B80" s="13"/>
      <c r="C80" s="13"/>
      <c r="G80" s="83"/>
      <c r="H80" s="83"/>
      <c r="I80" s="83"/>
      <c r="J80" s="83"/>
      <c r="K80" s="83"/>
      <c r="L80" s="83"/>
      <c r="M80" s="83"/>
      <c r="AW80" s="83"/>
      <c r="AX80" s="83"/>
      <c r="AY80" s="83"/>
      <c r="AZ80" s="83"/>
      <c r="BA80" s="83"/>
      <c r="BB80" s="83"/>
      <c r="BC80" s="83"/>
      <c r="BD80" s="83"/>
      <c r="BE80" s="83"/>
    </row>
    <row r="81" spans="6:48" x14ac:dyDescent="0.3">
      <c r="F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6:48" x14ac:dyDescent="0.3">
      <c r="F82" s="2"/>
      <c r="J82" s="84"/>
      <c r="K82" s="84"/>
      <c r="L82" s="84"/>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6:48" x14ac:dyDescent="0.3">
      <c r="F83" s="2"/>
      <c r="G83" s="84"/>
      <c r="H83" s="84"/>
      <c r="I83" s="84"/>
      <c r="J83" s="84"/>
      <c r="K83" s="84"/>
      <c r="L83" s="84"/>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6:48" x14ac:dyDescent="0.3">
      <c r="F84" s="2"/>
      <c r="G84" s="84"/>
      <c r="H84" s="84"/>
      <c r="I84" s="84"/>
      <c r="J84" s="84"/>
      <c r="K84" s="84"/>
      <c r="L84" s="84"/>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6:48" x14ac:dyDescent="0.3">
      <c r="F85" s="2"/>
      <c r="G85" s="84"/>
      <c r="H85" s="84"/>
      <c r="I85" s="84"/>
      <c r="J85" s="84"/>
      <c r="K85" s="84"/>
      <c r="L85" s="84"/>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6:48" x14ac:dyDescent="0.3">
      <c r="F86" s="2"/>
      <c r="G86" s="84"/>
      <c r="H86" s="84"/>
      <c r="I86" s="84"/>
      <c r="J86" s="84"/>
      <c r="K86" s="84"/>
      <c r="L86" s="84"/>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6:48" x14ac:dyDescent="0.3">
      <c r="F87" s="102"/>
      <c r="G87" s="84"/>
      <c r="H87" s="84"/>
      <c r="I87" s="84"/>
      <c r="J87" s="84"/>
      <c r="K87" s="84"/>
      <c r="L87" s="84"/>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6:48" x14ac:dyDescent="0.3">
      <c r="F88" s="102"/>
      <c r="G88" s="84"/>
      <c r="H88" s="84"/>
      <c r="I88" s="84"/>
      <c r="J88" s="84"/>
      <c r="K88" s="84"/>
      <c r="L88" s="84"/>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6:48" x14ac:dyDescent="0.3">
      <c r="F89" s="102"/>
      <c r="G89" s="84"/>
      <c r="H89" s="84"/>
      <c r="I89" s="84"/>
      <c r="J89" s="84"/>
      <c r="K89" s="84"/>
      <c r="L89" s="84"/>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6:48" x14ac:dyDescent="0.3">
      <c r="F90" s="102"/>
      <c r="G90" s="84"/>
      <c r="H90" s="84"/>
      <c r="I90" s="84"/>
      <c r="J90" s="84"/>
      <c r="K90" s="84"/>
      <c r="L90" s="84"/>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6:48" x14ac:dyDescent="0.3">
      <c r="F91" s="103"/>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6:48" x14ac:dyDescent="0.3">
      <c r="F92" s="103"/>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6:48" x14ac:dyDescent="0.3">
      <c r="F93" s="103"/>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6:48" x14ac:dyDescent="0.3">
      <c r="F94" s="103"/>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6:48" ht="16.5" customHeight="1" x14ac:dyDescent="0.3">
      <c r="F95" s="491"/>
      <c r="G95" s="491"/>
      <c r="H95" s="491"/>
      <c r="I95" s="491"/>
      <c r="J95" s="491"/>
      <c r="K95" s="491"/>
      <c r="L95" s="93"/>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6:48" x14ac:dyDescent="0.3">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6:48" ht="16.5" customHeight="1" x14ac:dyDescent="0.3">
      <c r="F97" s="492"/>
      <c r="G97" s="492"/>
      <c r="H97" s="492"/>
      <c r="I97" s="492"/>
      <c r="K97" s="94"/>
      <c r="L97" s="94"/>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6:48" x14ac:dyDescent="0.3">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6:48" x14ac:dyDescent="0.3">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6:48" x14ac:dyDescent="0.3">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6:48" x14ac:dyDescent="0.3">
      <c r="F101" s="84"/>
      <c r="G101" s="84"/>
      <c r="H101" s="84"/>
      <c r="I101" s="84"/>
      <c r="J101" s="84"/>
      <c r="K101" s="84"/>
      <c r="L101" s="84"/>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6:48" x14ac:dyDescent="0.3">
      <c r="F102" s="84"/>
      <c r="G102" s="84"/>
      <c r="H102" s="84"/>
      <c r="I102" s="84"/>
      <c r="J102" s="84"/>
      <c r="K102" s="84"/>
      <c r="L102" s="84"/>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6:48" x14ac:dyDescent="0.3">
      <c r="F103" s="84"/>
      <c r="G103" s="84"/>
      <c r="H103" s="84"/>
      <c r="I103" s="84"/>
      <c r="J103" s="84"/>
      <c r="K103" s="84"/>
      <c r="L103" s="84"/>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6:48" x14ac:dyDescent="0.3">
      <c r="F104" s="84"/>
      <c r="G104" s="84"/>
      <c r="H104" s="84"/>
      <c r="I104" s="84"/>
      <c r="J104" s="84"/>
      <c r="K104" s="84"/>
      <c r="L104" s="84"/>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6:48" x14ac:dyDescent="0.3">
      <c r="F105" s="84"/>
      <c r="G105" s="84"/>
      <c r="H105" s="84"/>
      <c r="I105" s="84"/>
      <c r="J105" s="84"/>
      <c r="K105" s="84"/>
      <c r="L105" s="84"/>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6:48" x14ac:dyDescent="0.3">
      <c r="F106" s="84"/>
      <c r="G106" s="84"/>
      <c r="H106" s="84"/>
      <c r="I106" s="84"/>
      <c r="J106" s="84"/>
      <c r="K106" s="84"/>
      <c r="L106" s="84"/>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6:48" x14ac:dyDescent="0.3">
      <c r="F107" s="84"/>
      <c r="G107" s="84"/>
      <c r="H107" s="84"/>
      <c r="I107" s="84"/>
      <c r="J107" s="84"/>
      <c r="K107" s="84"/>
      <c r="L107" s="84"/>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6:48" x14ac:dyDescent="0.3">
      <c r="F108" s="84"/>
      <c r="G108" s="84"/>
      <c r="H108" s="84"/>
      <c r="I108" s="84"/>
      <c r="J108" s="84"/>
      <c r="K108" s="84"/>
      <c r="L108" s="84"/>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6:48" x14ac:dyDescent="0.3">
      <c r="F109" s="84"/>
      <c r="G109" s="84"/>
      <c r="H109" s="84"/>
      <c r="I109" s="84"/>
      <c r="J109" s="84"/>
      <c r="K109" s="84"/>
      <c r="L109" s="84"/>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6:48" x14ac:dyDescent="0.3">
      <c r="F110" s="84"/>
      <c r="G110" s="84"/>
      <c r="H110" s="84"/>
      <c r="I110" s="84"/>
      <c r="J110" s="84"/>
      <c r="K110" s="84"/>
      <c r="L110" s="84"/>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6:48" x14ac:dyDescent="0.3">
      <c r="F111" s="84"/>
      <c r="G111" s="84"/>
      <c r="H111" s="84"/>
      <c r="I111" s="84"/>
      <c r="J111" s="84"/>
      <c r="K111" s="84"/>
      <c r="L111" s="84"/>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6:48" x14ac:dyDescent="0.3">
      <c r="F112" s="84"/>
      <c r="G112" s="84"/>
      <c r="H112" s="84"/>
      <c r="I112" s="84"/>
      <c r="J112" s="84"/>
      <c r="K112" s="84"/>
      <c r="L112" s="84"/>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6:48" x14ac:dyDescent="0.3">
      <c r="F113" s="84"/>
      <c r="G113" s="84"/>
      <c r="H113" s="84"/>
      <c r="I113" s="84"/>
      <c r="J113" s="84"/>
      <c r="K113" s="84"/>
      <c r="L113" s="84"/>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6:48" x14ac:dyDescent="0.3">
      <c r="F114" s="84"/>
      <c r="G114" s="84"/>
      <c r="H114" s="84"/>
      <c r="I114" s="84"/>
      <c r="J114" s="84"/>
      <c r="K114" s="84"/>
      <c r="L114" s="84"/>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6:48" x14ac:dyDescent="0.3">
      <c r="F115" s="84"/>
      <c r="G115" s="84"/>
      <c r="H115" s="84"/>
      <c r="I115" s="84"/>
      <c r="J115" s="84"/>
      <c r="K115" s="84"/>
      <c r="L115" s="84"/>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6:48" x14ac:dyDescent="0.3">
      <c r="F116" s="84"/>
      <c r="G116" s="84"/>
      <c r="H116" s="84"/>
      <c r="I116" s="84"/>
      <c r="J116" s="84"/>
      <c r="K116" s="84"/>
      <c r="L116" s="84"/>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6:48" x14ac:dyDescent="0.3">
      <c r="F117" s="84"/>
      <c r="G117" s="84"/>
      <c r="H117" s="84"/>
      <c r="I117" s="84"/>
      <c r="J117" s="84"/>
      <c r="K117" s="84"/>
      <c r="L117" s="84"/>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6:48" x14ac:dyDescent="0.3">
      <c r="F118" s="84"/>
      <c r="G118" s="84"/>
      <c r="H118" s="84"/>
      <c r="I118" s="84"/>
      <c r="J118" s="84"/>
      <c r="K118" s="84"/>
      <c r="L118" s="84"/>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6:48" x14ac:dyDescent="0.3">
      <c r="F119" s="84"/>
      <c r="G119" s="84"/>
      <c r="H119" s="84"/>
      <c r="I119" s="84"/>
      <c r="J119" s="84"/>
      <c r="K119" s="84"/>
      <c r="L119" s="84"/>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6:48" x14ac:dyDescent="0.3">
      <c r="F120" s="84"/>
      <c r="G120" s="84"/>
      <c r="H120" s="84"/>
      <c r="I120" s="84"/>
      <c r="J120" s="84"/>
      <c r="K120" s="84"/>
      <c r="L120" s="84"/>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6:48" x14ac:dyDescent="0.3">
      <c r="F121" s="84"/>
      <c r="G121" s="84"/>
      <c r="H121" s="84"/>
      <c r="I121" s="84"/>
      <c r="J121" s="84"/>
      <c r="K121" s="84"/>
      <c r="L121" s="84"/>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6:48" x14ac:dyDescent="0.3">
      <c r="F122" s="84"/>
      <c r="G122" s="84"/>
      <c r="H122" s="84"/>
      <c r="I122" s="84"/>
      <c r="J122" s="84"/>
      <c r="K122" s="84"/>
      <c r="L122" s="84"/>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6:48" x14ac:dyDescent="0.3">
      <c r="F123" s="84"/>
      <c r="G123" s="84"/>
      <c r="H123" s="84"/>
      <c r="I123" s="84"/>
      <c r="J123" s="84"/>
      <c r="K123" s="84"/>
      <c r="L123" s="84"/>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6:48" x14ac:dyDescent="0.3">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6:48" x14ac:dyDescent="0.3">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6:48" x14ac:dyDescent="0.3">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6:48" x14ac:dyDescent="0.3">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6:48" x14ac:dyDescent="0.3">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5:142" x14ac:dyDescent="0.3">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5:142" x14ac:dyDescent="0.3">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5:142" x14ac:dyDescent="0.3">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5:142" x14ac:dyDescent="0.3">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5:142" x14ac:dyDescent="0.3">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5:142" x14ac:dyDescent="0.3">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5:142" x14ac:dyDescent="0.3">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DW135" s="2"/>
      <c r="DX135" s="2"/>
      <c r="DY135" s="2"/>
      <c r="DZ135" s="2"/>
      <c r="EA135" s="2"/>
      <c r="EB135" s="2"/>
      <c r="EC135" s="2"/>
      <c r="ED135" s="2"/>
      <c r="EE135" s="2"/>
      <c r="EF135" s="2"/>
      <c r="EG135" s="2"/>
      <c r="EH135" s="2"/>
      <c r="EI135" s="2"/>
      <c r="EJ135" s="2"/>
      <c r="EK135" s="2"/>
      <c r="EL135" s="2"/>
    </row>
    <row r="136" spans="15:142" x14ac:dyDescent="0.3">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5:142" x14ac:dyDescent="0.3">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5:142" x14ac:dyDescent="0.3">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5:142" x14ac:dyDescent="0.3">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5:142" x14ac:dyDescent="0.3">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5:142" x14ac:dyDescent="0.3">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5:142" x14ac:dyDescent="0.3">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5:142" x14ac:dyDescent="0.3">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5:142" x14ac:dyDescent="0.3">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5:142" x14ac:dyDescent="0.3">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5:142" x14ac:dyDescent="0.3">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DW146" s="84"/>
      <c r="DX146" s="84"/>
      <c r="DY146" s="84"/>
      <c r="DZ146" s="84"/>
      <c r="EA146" s="84"/>
      <c r="EB146" s="84"/>
      <c r="EC146" s="84"/>
      <c r="ED146" s="84"/>
      <c r="EE146" s="84"/>
      <c r="EF146" s="84"/>
      <c r="EG146" s="84"/>
      <c r="EH146" s="84"/>
      <c r="EI146" s="84"/>
      <c r="EJ146" s="84"/>
      <c r="EK146" s="84"/>
      <c r="EL146" s="84"/>
    </row>
    <row r="147" spans="15:142" x14ac:dyDescent="0.3">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DW147" s="84"/>
      <c r="DX147" s="84"/>
      <c r="DY147" s="84"/>
      <c r="DZ147" s="84"/>
      <c r="EA147" s="84"/>
      <c r="EB147" s="84"/>
      <c r="EC147" s="84"/>
      <c r="ED147" s="84"/>
      <c r="EE147" s="84"/>
      <c r="EF147" s="84"/>
      <c r="EG147" s="84"/>
      <c r="EH147" s="84"/>
      <c r="EI147" s="84"/>
      <c r="EJ147" s="84"/>
      <c r="EK147" s="84"/>
      <c r="EL147" s="84"/>
    </row>
    <row r="148" spans="15:142" x14ac:dyDescent="0.3">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DW148" s="84"/>
      <c r="DX148" s="84"/>
      <c r="DY148" s="84"/>
      <c r="DZ148" s="84"/>
      <c r="EA148" s="84"/>
      <c r="EB148" s="84"/>
      <c r="EC148" s="84"/>
      <c r="ED148" s="84"/>
      <c r="EE148" s="84"/>
      <c r="EF148" s="84"/>
      <c r="EG148" s="84"/>
      <c r="EH148" s="84"/>
      <c r="EI148" s="84"/>
      <c r="EJ148" s="84"/>
      <c r="EK148" s="84"/>
      <c r="EL148" s="84"/>
    </row>
    <row r="149" spans="15:142" x14ac:dyDescent="0.3">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DW149" s="84"/>
      <c r="DX149" s="84"/>
      <c r="DY149" s="84"/>
      <c r="DZ149" s="84"/>
      <c r="EA149" s="84"/>
      <c r="EB149" s="84"/>
      <c r="EC149" s="84"/>
      <c r="ED149" s="84"/>
      <c r="EE149" s="84"/>
      <c r="EF149" s="84"/>
      <c r="EG149" s="84"/>
      <c r="EH149" s="84"/>
      <c r="EI149" s="84"/>
      <c r="EJ149" s="84"/>
      <c r="EK149" s="84"/>
      <c r="EL149" s="84"/>
    </row>
    <row r="150" spans="15:142" x14ac:dyDescent="0.3">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DW150" s="84"/>
      <c r="DX150" s="84"/>
      <c r="DY150" s="84"/>
      <c r="DZ150" s="84"/>
      <c r="EA150" s="84"/>
      <c r="EB150" s="84"/>
      <c r="EC150" s="84"/>
      <c r="ED150" s="84"/>
      <c r="EE150" s="84"/>
      <c r="EF150" s="84"/>
      <c r="EG150" s="84"/>
      <c r="EH150" s="84"/>
      <c r="EI150" s="84"/>
      <c r="EJ150" s="84"/>
      <c r="EK150" s="84"/>
      <c r="EL150" s="84"/>
    </row>
    <row r="151" spans="15:142" x14ac:dyDescent="0.3">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DW151" s="84"/>
      <c r="DX151" s="84"/>
      <c r="DY151" s="84"/>
      <c r="DZ151" s="84"/>
      <c r="EA151" s="84"/>
      <c r="EB151" s="84"/>
      <c r="EC151" s="84"/>
      <c r="ED151" s="84"/>
      <c r="EE151" s="84"/>
      <c r="EF151" s="84"/>
      <c r="EG151" s="84"/>
      <c r="EH151" s="84"/>
      <c r="EI151" s="84"/>
      <c r="EJ151" s="84"/>
      <c r="EK151" s="84"/>
      <c r="EL151" s="84"/>
    </row>
    <row r="152" spans="15:142" x14ac:dyDescent="0.3">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5:142" x14ac:dyDescent="0.3">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5:142" x14ac:dyDescent="0.3">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5:142" x14ac:dyDescent="0.3">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5:142" x14ac:dyDescent="0.3">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5:142" x14ac:dyDescent="0.3">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5:142" x14ac:dyDescent="0.3">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5:142" x14ac:dyDescent="0.3">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5:142" x14ac:dyDescent="0.3">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5:48" x14ac:dyDescent="0.3">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5:48" x14ac:dyDescent="0.3">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5:48" x14ac:dyDescent="0.3">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5:48" x14ac:dyDescent="0.3">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5:48" x14ac:dyDescent="0.3">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5:48" x14ac:dyDescent="0.3">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5:48" x14ac:dyDescent="0.3">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5:48" x14ac:dyDescent="0.3">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5:48" x14ac:dyDescent="0.3">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5:48" x14ac:dyDescent="0.3">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5:48" x14ac:dyDescent="0.3">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5:48" x14ac:dyDescent="0.3">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5:48" x14ac:dyDescent="0.3">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5:48" x14ac:dyDescent="0.3">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5:48" x14ac:dyDescent="0.3">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5:48" x14ac:dyDescent="0.3">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5:48" x14ac:dyDescent="0.3">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5:48" x14ac:dyDescent="0.3">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5:48" x14ac:dyDescent="0.3">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5:48" x14ac:dyDescent="0.3">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5:48" x14ac:dyDescent="0.3">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5:48" x14ac:dyDescent="0.3">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5:48" x14ac:dyDescent="0.3">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5:48" x14ac:dyDescent="0.3">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5:48" x14ac:dyDescent="0.3">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5:48" x14ac:dyDescent="0.3">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5:48" x14ac:dyDescent="0.3">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5:48" x14ac:dyDescent="0.3">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5:48" x14ac:dyDescent="0.3">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5:48" x14ac:dyDescent="0.3">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5:48" x14ac:dyDescent="0.3">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5:48" x14ac:dyDescent="0.3">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5:48" x14ac:dyDescent="0.3">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5:48" x14ac:dyDescent="0.3">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5:48" x14ac:dyDescent="0.3">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5:48" x14ac:dyDescent="0.3">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5:48" x14ac:dyDescent="0.3">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5:48" x14ac:dyDescent="0.3">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5:48" x14ac:dyDescent="0.3">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5:48" x14ac:dyDescent="0.3">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5:48" x14ac:dyDescent="0.3">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5:48" x14ac:dyDescent="0.3">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5:48" x14ac:dyDescent="0.3">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5:48" x14ac:dyDescent="0.3">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5:48" x14ac:dyDescent="0.3">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5:48" x14ac:dyDescent="0.3">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5:48" x14ac:dyDescent="0.3">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5:48" x14ac:dyDescent="0.3">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5:48" x14ac:dyDescent="0.3">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5:48" x14ac:dyDescent="0.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5:48" x14ac:dyDescent="0.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5:48" x14ac:dyDescent="0.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5:48" x14ac:dyDescent="0.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5:48" x14ac:dyDescent="0.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5:48" x14ac:dyDescent="0.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5:48" x14ac:dyDescent="0.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5:48" x14ac:dyDescent="0.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5:48" x14ac:dyDescent="0.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5:48" x14ac:dyDescent="0.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5:48" x14ac:dyDescent="0.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5:48" x14ac:dyDescent="0.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5:48" x14ac:dyDescent="0.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5:48" x14ac:dyDescent="0.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5:48" x14ac:dyDescent="0.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5:48" x14ac:dyDescent="0.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5:48" x14ac:dyDescent="0.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5:48" x14ac:dyDescent="0.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5:48" x14ac:dyDescent="0.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5:48" x14ac:dyDescent="0.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5:48" x14ac:dyDescent="0.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5:48" x14ac:dyDescent="0.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5:48" x14ac:dyDescent="0.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5:48" x14ac:dyDescent="0.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5:48" x14ac:dyDescent="0.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5:48" x14ac:dyDescent="0.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5:48" x14ac:dyDescent="0.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5:48" x14ac:dyDescent="0.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5:48" x14ac:dyDescent="0.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5:48" x14ac:dyDescent="0.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5:48" x14ac:dyDescent="0.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5:48" x14ac:dyDescent="0.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5:48" x14ac:dyDescent="0.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5:48" x14ac:dyDescent="0.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5:48" x14ac:dyDescent="0.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5:48" x14ac:dyDescent="0.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5:48" x14ac:dyDescent="0.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5:48" x14ac:dyDescent="0.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5:48" x14ac:dyDescent="0.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5:48" x14ac:dyDescent="0.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5:48" x14ac:dyDescent="0.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5:48" x14ac:dyDescent="0.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5:48" x14ac:dyDescent="0.3">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spans="15:48" x14ac:dyDescent="0.3">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94" spans="6:10" x14ac:dyDescent="0.3">
      <c r="F294" s="95"/>
      <c r="G294" s="95"/>
      <c r="H294" s="95"/>
      <c r="I294" s="95"/>
      <c r="J294" s="95"/>
    </row>
    <row r="295" spans="6:10" x14ac:dyDescent="0.3">
      <c r="F295" s="95"/>
      <c r="G295" s="95"/>
      <c r="H295" s="95"/>
      <c r="I295" s="95"/>
      <c r="J295" s="95"/>
    </row>
  </sheetData>
  <sheetProtection sheet="1" objects="1" scenarios="1"/>
  <mergeCells count="28">
    <mergeCell ref="C1:M1"/>
    <mergeCell ref="D3:L4"/>
    <mergeCell ref="D8:K9"/>
    <mergeCell ref="D10:K15"/>
    <mergeCell ref="D6:L6"/>
    <mergeCell ref="D44:L44"/>
    <mergeCell ref="E47:L47"/>
    <mergeCell ref="L48:L49"/>
    <mergeCell ref="D16:L16"/>
    <mergeCell ref="E17:K17"/>
    <mergeCell ref="E18:E19"/>
    <mergeCell ref="F18:F19"/>
    <mergeCell ref="G18:G19"/>
    <mergeCell ref="H18:H19"/>
    <mergeCell ref="I18:I19"/>
    <mergeCell ref="J18:J19"/>
    <mergeCell ref="K18:K19"/>
    <mergeCell ref="E48:E49"/>
    <mergeCell ref="F95:K95"/>
    <mergeCell ref="F97:I97"/>
    <mergeCell ref="D45:K45"/>
    <mergeCell ref="E46:K46"/>
    <mergeCell ref="F48:F49"/>
    <mergeCell ref="G48:G49"/>
    <mergeCell ref="H48:H49"/>
    <mergeCell ref="I48:I49"/>
    <mergeCell ref="J48:J49"/>
    <mergeCell ref="K48:K49"/>
  </mergeCells>
  <conditionalFormatting sqref="J71">
    <cfRule type="expression" dxfId="35" priority="3">
      <formula>ISNUMBER(J71)</formula>
    </cfRule>
  </conditionalFormatting>
  <dataValidations count="2">
    <dataValidation operator="equal" allowBlank="1" showInputMessage="1" showErrorMessage="1" sqref="F51:F70">
      <formula1>0</formula1>
      <formula2>0</formula2>
    </dataValidation>
    <dataValidation type="decimal" operator="greaterThan" allowBlank="1" showInputMessage="1" showErrorMessage="1" sqref="H21:H42 I51:I70">
      <formula1>0</formula1>
    </dataValidation>
  </dataValidations>
  <hyperlinks>
    <hyperlink ref="A3" location="'0_Datos generales organización'!A1" display="0. Datos de la organización"/>
    <hyperlink ref="A4" location="'1_Combustibles fósiles'!A1" display="1. HC Alcance 1: Comb. fósiles"/>
    <hyperlink ref="A5" location="'2_Fluorados'!A1" display="2. HC Alcance 1: Fugas fluorados"/>
    <hyperlink ref="A6" location="'3_Emisiones proceso'!A1" display="3. HC Alcance 1: Emisiones proceso"/>
    <hyperlink ref="A8" location="'4.2_Electricidad España'!A1" display="4.2 HC 2: Electricidad España"/>
    <hyperlink ref="A9" location="'5_Información adicional'!A1" display="5. Inf. adicional: renovables"/>
    <hyperlink ref="A10" location="'6.1_Resultados Illes Balears'!A1" display="6.1 Informe final: Resultados I. Balears"/>
    <hyperlink ref="A12" location="'6.2_Resultados España'!A1" display="6.2 Informe final: Resultados España"/>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14:formula1>
            <xm:f>INDIRECT("_Com"&amp;Dades!$F$2)</xm:f>
          </x14:formula1>
          <x14:formula2>
            <xm:f>0</xm:f>
          </x14:formula2>
          <xm:sqref>F21:F42 G51:G70</xm:sqref>
        </x14:dataValidation>
        <x14:dataValidation type="list" operator="equal" allowBlank="1" showInputMessage="1" showErrorMessage="1">
          <x14:formula1>
            <xm:f>Dades!$AC$636:$AC$638</xm:f>
          </x14:formula1>
          <x14:formula2>
            <xm:f>0</xm:f>
          </x14:formula2>
          <xm:sqref>G21:G42 H51:H70</xm:sqref>
        </x14:dataValidation>
        <x14:dataValidation type="list" operator="equal" allowBlank="1" showInputMessage="1" showErrorMessage="1">
          <x14:formula1>
            <xm:f>Dades!$E$661:$E$911</xm:f>
          </x14:formula1>
          <xm:sqref>E21:E42 E51:E70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AMK294"/>
  <sheetViews>
    <sheetView showRowColHeaders="0" zoomScaleNormal="100" workbookViewId="0">
      <pane xSplit="1" topLeftCell="B1" activePane="topRight" state="frozen"/>
      <selection pane="topRight" activeCell="C1" sqref="C1:M1"/>
    </sheetView>
  </sheetViews>
  <sheetFormatPr baseColWidth="10" defaultColWidth="9.140625" defaultRowHeight="16.5" x14ac:dyDescent="0.3"/>
  <cols>
    <col min="1" max="1" width="31.5703125" style="13" customWidth="1"/>
    <col min="2" max="2" width="1.85546875" style="13" customWidth="1"/>
    <col min="3" max="3" width="1.5703125" style="13" customWidth="1"/>
    <col min="4" max="4" width="3.5703125" style="83" customWidth="1"/>
    <col min="5" max="5" width="26.28515625" style="83" customWidth="1"/>
    <col min="6" max="6" width="51.42578125" style="83" customWidth="1"/>
    <col min="7" max="7" width="25" style="83" customWidth="1"/>
    <col min="8" max="8" width="16.28515625" style="83" customWidth="1"/>
    <col min="9" max="9" width="16.5703125" style="83" customWidth="1"/>
    <col min="10" max="10" width="17.7109375" style="83" customWidth="1"/>
    <col min="11" max="11" width="18.28515625" style="83" customWidth="1"/>
    <col min="12" max="12" width="2.7109375" style="83" customWidth="1"/>
    <col min="13" max="13" width="2" style="83" customWidth="1"/>
    <col min="14" max="14" width="11.42578125" style="83"/>
    <col min="15" max="15" width="6.7109375" style="83" customWidth="1"/>
    <col min="16" max="16" width="7.140625" style="83" customWidth="1"/>
    <col min="17" max="20" width="10.7109375" style="83" customWidth="1"/>
    <col min="21" max="1025" width="11.42578125" style="83"/>
  </cols>
  <sheetData>
    <row r="1" spans="1:17" s="26" customFormat="1" ht="40.700000000000003" customHeight="1" x14ac:dyDescent="0.25">
      <c r="A1" s="13"/>
      <c r="B1" s="14"/>
      <c r="C1" s="439" t="s">
        <v>133</v>
      </c>
      <c r="D1" s="439"/>
      <c r="E1" s="439"/>
      <c r="F1" s="439"/>
      <c r="G1" s="439"/>
      <c r="H1" s="439"/>
      <c r="I1" s="439"/>
      <c r="J1" s="439"/>
      <c r="K1" s="439"/>
      <c r="L1" s="439"/>
      <c r="M1" s="439"/>
      <c r="N1" s="27"/>
      <c r="O1" s="27"/>
      <c r="P1" s="27"/>
      <c r="Q1" s="27"/>
    </row>
    <row r="2" spans="1:17" s="26" customFormat="1" ht="40.700000000000003" customHeight="1" x14ac:dyDescent="0.25">
      <c r="A2" s="13"/>
      <c r="B2" s="14"/>
      <c r="C2" s="13"/>
      <c r="G2" s="27"/>
      <c r="H2" s="27"/>
      <c r="I2" s="27"/>
      <c r="J2" s="27"/>
      <c r="K2" s="27"/>
      <c r="L2" s="27"/>
      <c r="M2" s="27"/>
      <c r="N2" s="27"/>
      <c r="O2" s="27"/>
      <c r="P2" s="27"/>
      <c r="Q2" s="27"/>
    </row>
    <row r="3" spans="1:17" s="26" customFormat="1" ht="16.5" customHeight="1" x14ac:dyDescent="0.25">
      <c r="A3" s="18" t="s">
        <v>17</v>
      </c>
      <c r="B3" s="16"/>
      <c r="C3" s="13"/>
      <c r="D3" s="495" t="s">
        <v>113</v>
      </c>
      <c r="E3" s="495"/>
      <c r="F3" s="495"/>
      <c r="G3" s="495"/>
      <c r="H3" s="495"/>
      <c r="I3" s="495"/>
      <c r="J3" s="495"/>
      <c r="K3" s="495"/>
      <c r="L3" s="495"/>
      <c r="N3" s="27"/>
      <c r="O3" s="27"/>
      <c r="P3" s="27"/>
      <c r="Q3" s="27"/>
    </row>
    <row r="4" spans="1:17" s="26" customFormat="1" ht="16.5" customHeight="1" x14ac:dyDescent="0.25">
      <c r="A4" s="18" t="s">
        <v>19</v>
      </c>
      <c r="B4" s="16"/>
      <c r="C4" s="13"/>
      <c r="D4" s="495"/>
      <c r="E4" s="495"/>
      <c r="F4" s="495"/>
      <c r="G4" s="495"/>
      <c r="H4" s="495"/>
      <c r="I4" s="495"/>
      <c r="J4" s="495"/>
      <c r="K4" s="495"/>
      <c r="L4" s="495"/>
      <c r="N4" s="27"/>
      <c r="O4" s="27"/>
      <c r="P4" s="27"/>
      <c r="Q4" s="27"/>
    </row>
    <row r="5" spans="1:17" s="26" customFormat="1" ht="16.5" customHeight="1" x14ac:dyDescent="0.25">
      <c r="A5" s="18" t="s">
        <v>20</v>
      </c>
      <c r="B5" s="16"/>
      <c r="C5" s="13"/>
      <c r="D5" s="469" t="s">
        <v>114</v>
      </c>
      <c r="E5" s="469"/>
      <c r="F5" s="469"/>
      <c r="G5" s="469"/>
      <c r="H5" s="469"/>
      <c r="I5" s="469"/>
      <c r="J5" s="469"/>
      <c r="K5" s="469"/>
      <c r="L5" s="46"/>
      <c r="M5" s="46"/>
      <c r="N5" s="27"/>
      <c r="O5" s="27"/>
      <c r="P5" s="27"/>
      <c r="Q5" s="27"/>
    </row>
    <row r="6" spans="1:17" s="41" customFormat="1" ht="16.5" customHeight="1" x14ac:dyDescent="0.25">
      <c r="A6" s="18" t="s">
        <v>24</v>
      </c>
      <c r="B6" s="16"/>
      <c r="C6" s="13"/>
      <c r="D6" s="87"/>
    </row>
    <row r="7" spans="1:17" s="41" customFormat="1" ht="16.5" customHeight="1" x14ac:dyDescent="0.25">
      <c r="A7" s="18" t="s">
        <v>26</v>
      </c>
      <c r="B7" s="16"/>
      <c r="C7" s="13"/>
      <c r="D7" s="483" t="s">
        <v>116</v>
      </c>
      <c r="E7" s="483"/>
      <c r="F7" s="483"/>
      <c r="G7" s="483"/>
      <c r="H7" s="483"/>
      <c r="I7" s="483"/>
      <c r="J7" s="483"/>
      <c r="K7" s="483"/>
      <c r="L7" s="88"/>
    </row>
    <row r="8" spans="1:17" s="41" customFormat="1" ht="16.5" customHeight="1" x14ac:dyDescent="0.25">
      <c r="A8" s="15" t="s">
        <v>27</v>
      </c>
      <c r="B8" s="16"/>
      <c r="C8" s="13"/>
      <c r="D8" s="483"/>
      <c r="E8" s="483"/>
      <c r="F8" s="483"/>
      <c r="G8" s="483"/>
      <c r="H8" s="483"/>
      <c r="I8" s="483"/>
      <c r="J8" s="483"/>
      <c r="K8" s="483"/>
      <c r="L8" s="88"/>
      <c r="M8" s="46"/>
    </row>
    <row r="9" spans="1:17" s="41" customFormat="1" ht="16.5" customHeight="1" x14ac:dyDescent="0.25">
      <c r="A9" s="17" t="s">
        <v>29</v>
      </c>
      <c r="B9" s="13"/>
      <c r="C9" s="13"/>
      <c r="D9" s="440" t="s">
        <v>134</v>
      </c>
      <c r="E9" s="440"/>
      <c r="F9" s="440"/>
      <c r="G9" s="440"/>
      <c r="H9" s="440"/>
      <c r="I9" s="440"/>
      <c r="J9" s="440"/>
      <c r="K9" s="440"/>
      <c r="L9" s="88"/>
      <c r="M9" s="46"/>
    </row>
    <row r="10" spans="1:17" s="41" customFormat="1" ht="6.75" hidden="1" customHeight="1" x14ac:dyDescent="0.25">
      <c r="A10" s="17"/>
      <c r="B10" s="13"/>
      <c r="C10" s="13"/>
      <c r="D10" s="440"/>
      <c r="E10" s="440"/>
      <c r="F10" s="440"/>
      <c r="G10" s="440"/>
      <c r="H10" s="440"/>
      <c r="I10" s="440"/>
      <c r="J10" s="440"/>
      <c r="K10" s="440"/>
      <c r="L10" s="34"/>
      <c r="M10" s="69"/>
    </row>
    <row r="11" spans="1:17" s="2" customFormat="1" ht="16.5" customHeight="1" x14ac:dyDescent="0.3">
      <c r="A11" s="17" t="s">
        <v>31</v>
      </c>
      <c r="B11" s="13"/>
      <c r="C11" s="13"/>
      <c r="D11" s="440"/>
      <c r="E11" s="440"/>
      <c r="F11" s="440"/>
      <c r="G11" s="440"/>
      <c r="H11" s="440"/>
      <c r="I11" s="440"/>
      <c r="J11" s="440"/>
      <c r="K11" s="440"/>
      <c r="L11" s="88"/>
      <c r="M11" s="46"/>
    </row>
    <row r="12" spans="1:17" s="2" customFormat="1" ht="16.5" customHeight="1" x14ac:dyDescent="0.3">
      <c r="A12" s="17" t="s">
        <v>32</v>
      </c>
      <c r="B12" s="13"/>
      <c r="C12" s="13"/>
      <c r="D12" s="440"/>
      <c r="E12" s="440"/>
      <c r="F12" s="440"/>
      <c r="G12" s="440"/>
      <c r="H12" s="440"/>
      <c r="I12" s="440"/>
      <c r="J12" s="440"/>
      <c r="K12" s="440"/>
      <c r="L12" s="88"/>
      <c r="M12" s="46"/>
    </row>
    <row r="13" spans="1:17" s="2" customFormat="1" ht="16.149999999999999" customHeight="1" x14ac:dyDescent="0.3">
      <c r="A13" s="17"/>
      <c r="B13" s="13"/>
      <c r="C13" s="13"/>
      <c r="D13" s="440"/>
      <c r="E13" s="440"/>
      <c r="F13" s="440"/>
      <c r="G13" s="440"/>
      <c r="H13" s="440"/>
      <c r="I13" s="440"/>
      <c r="J13" s="440"/>
      <c r="K13" s="440"/>
      <c r="L13" s="88"/>
      <c r="M13" s="46"/>
    </row>
    <row r="14" spans="1:17" s="2" customFormat="1" ht="18.75" customHeight="1" x14ac:dyDescent="0.3">
      <c r="A14" s="17"/>
      <c r="B14" s="13"/>
      <c r="C14" s="13"/>
      <c r="D14" s="440"/>
      <c r="E14" s="440"/>
      <c r="F14" s="440"/>
      <c r="G14" s="440"/>
      <c r="H14" s="440"/>
      <c r="I14" s="440"/>
      <c r="J14" s="440"/>
      <c r="K14" s="440"/>
      <c r="L14" s="92"/>
      <c r="M14" s="46"/>
    </row>
    <row r="15" spans="1:17" s="2" customFormat="1" ht="18.75" customHeight="1" x14ac:dyDescent="0.3">
      <c r="A15" s="17"/>
      <c r="B15" s="13"/>
      <c r="C15" s="13"/>
      <c r="D15" s="493" t="str">
        <f>IF(ISNUMBER('0_Datos generales organización'!$G$3),"",IF(OR(ISNUMBER(H20),ISNUMBER(H21),ISNUMBER(H22),ISNUMBER(H23),ISNUMBER(H24),ISNUMBER(H25),ISNUMBER(H26),ISNUMBER(H27),ISNUMBER(H28),ISNUMBER(H29),ISNUMBER(H30),ISNUMBER(H31),ISNUMBER(H32),ISNUMBER(H33),ISNUMBER(H34),ISNUMBER(H35),ISNUMBER(H36),ISNUMBER(H37),ISNUMBER(H40),ISNUMBER(H41)),"Introduzca el AÑO DE CÁLCULO en la pestaña 0_Datos generales de la organización y en este mismo cuadro responda si dispone o no de GdO e indique la COMERCIALIZADORA que tiene contratada",""))</f>
        <v/>
      </c>
      <c r="E15" s="493"/>
      <c r="F15" s="493"/>
      <c r="G15" s="493"/>
      <c r="H15" s="493"/>
      <c r="I15" s="493"/>
      <c r="J15" s="493"/>
      <c r="K15" s="493"/>
      <c r="L15" s="493"/>
      <c r="M15" s="46"/>
    </row>
    <row r="16" spans="1:17" s="2" customFormat="1" ht="22.5" customHeight="1" x14ac:dyDescent="0.35">
      <c r="A16" s="47"/>
      <c r="B16" s="13"/>
      <c r="C16" s="13"/>
      <c r="D16" s="96"/>
      <c r="E16" s="494" t="s">
        <v>117</v>
      </c>
      <c r="F16" s="494"/>
      <c r="G16" s="494"/>
      <c r="H16" s="494"/>
      <c r="I16" s="494"/>
      <c r="J16" s="494"/>
      <c r="K16" s="494"/>
      <c r="Q16" s="97"/>
    </row>
    <row r="17" spans="1:17" s="2" customFormat="1" ht="24.75" customHeight="1" x14ac:dyDescent="0.35">
      <c r="A17" s="47"/>
      <c r="B17" s="13"/>
      <c r="C17" s="13"/>
      <c r="D17" s="98"/>
      <c r="E17" s="480" t="s">
        <v>65</v>
      </c>
      <c r="F17" s="480" t="s">
        <v>129</v>
      </c>
      <c r="G17" s="480" t="s">
        <v>119</v>
      </c>
      <c r="H17" s="480" t="s">
        <v>120</v>
      </c>
      <c r="I17" s="480" t="s">
        <v>135</v>
      </c>
      <c r="J17" s="480" t="s">
        <v>110</v>
      </c>
      <c r="K17" s="480" t="s">
        <v>122</v>
      </c>
      <c r="Q17" s="97"/>
    </row>
    <row r="18" spans="1:17" s="2" customFormat="1" ht="13.5" customHeight="1" x14ac:dyDescent="0.3">
      <c r="A18" s="47"/>
      <c r="B18" s="13"/>
      <c r="C18" s="13"/>
      <c r="E18" s="480"/>
      <c r="F18" s="480"/>
      <c r="G18" s="480"/>
      <c r="H18" s="480"/>
      <c r="I18" s="480"/>
      <c r="J18" s="480"/>
      <c r="K18" s="480"/>
    </row>
    <row r="19" spans="1:17" s="2" customFormat="1" ht="21" hidden="1" customHeight="1" x14ac:dyDescent="0.3">
      <c r="A19" s="47"/>
      <c r="B19" s="13"/>
      <c r="C19" s="13"/>
      <c r="E19" s="52" t="s">
        <v>65</v>
      </c>
      <c r="F19" s="53"/>
      <c r="G19" s="53"/>
      <c r="H19" s="54"/>
      <c r="I19" s="54"/>
      <c r="J19" s="99" t="s">
        <v>70</v>
      </c>
      <c r="K19" s="74"/>
    </row>
    <row r="20" spans="1:17" s="2" customFormat="1" x14ac:dyDescent="0.3">
      <c r="A20" s="47"/>
      <c r="B20" s="13"/>
      <c r="C20" s="13"/>
      <c r="E20" s="410"/>
      <c r="F20" s="420"/>
      <c r="G20" s="421"/>
      <c r="H20" s="425"/>
      <c r="I20" s="90" t="str">
        <f>IF(OR(F20="",H20=""),"",IF(G20=Dades!$C$248,Dades!$D$248,IF(G20=Dades!$C$249,Dades!$D$249,VLOOKUP(F20,Dades!$AE$223:$AF$467,2,0))))</f>
        <v/>
      </c>
      <c r="J20" s="91" t="str">
        <f>IF(I20="","",H20*I20)</f>
        <v/>
      </c>
      <c r="K20" s="58">
        <f>SUM(J20:J41)</f>
        <v>0</v>
      </c>
    </row>
    <row r="21" spans="1:17" s="2" customFormat="1" ht="15" customHeight="1" x14ac:dyDescent="0.3">
      <c r="A21" s="17"/>
      <c r="B21" s="13"/>
      <c r="C21" s="13"/>
      <c r="E21" s="410"/>
      <c r="F21" s="420"/>
      <c r="G21" s="421"/>
      <c r="H21" s="425"/>
      <c r="I21" s="90" t="str">
        <f>IF(OR(F21="",H21=""),"",IF(G21=Dades!$C$248,Dades!$D$248,IF(G21=Dades!$C$249,Dades!$D$249,VLOOKUP(F21,Dades!$AE$223:$AF$467,2,0))))</f>
        <v/>
      </c>
      <c r="J21" s="91" t="str">
        <f t="shared" ref="J21:J41" si="0">IF(I21="","",H21*I21)</f>
        <v/>
      </c>
      <c r="K21" s="41"/>
      <c r="L21" s="41"/>
    </row>
    <row r="22" spans="1:17" s="2" customFormat="1" ht="15" customHeight="1" x14ac:dyDescent="0.3">
      <c r="A22" s="17"/>
      <c r="B22" s="13"/>
      <c r="C22" s="13"/>
      <c r="E22" s="410"/>
      <c r="F22" s="420"/>
      <c r="G22" s="421"/>
      <c r="H22" s="425"/>
      <c r="I22" s="90" t="str">
        <f>IF(OR(F22="",H22=""),"",IF(G22=Dades!$C$248,Dades!$D$248,IF(G22=Dades!$C$249,Dades!$D$249,VLOOKUP(F22,Dades!$AE$223:$AF$467,2,0))))</f>
        <v/>
      </c>
      <c r="J22" s="91" t="str">
        <f t="shared" si="0"/>
        <v/>
      </c>
      <c r="K22" s="41"/>
      <c r="L22" s="41"/>
    </row>
    <row r="23" spans="1:17" s="2" customFormat="1" ht="15" customHeight="1" x14ac:dyDescent="0.3">
      <c r="A23" s="17"/>
      <c r="B23" s="13"/>
      <c r="C23" s="13"/>
      <c r="E23" s="410"/>
      <c r="F23" s="420"/>
      <c r="G23" s="421"/>
      <c r="H23" s="425"/>
      <c r="I23" s="90" t="str">
        <f>IF(OR(F23="",H23=""),"",IF(G23=Dades!$C$248,Dades!$D$248,IF(G23=Dades!$C$249,Dades!$D$249,VLOOKUP(F23,Dades!$AE$223:$AF$467,2,0))))</f>
        <v/>
      </c>
      <c r="J23" s="91" t="str">
        <f t="shared" si="0"/>
        <v/>
      </c>
      <c r="K23" s="41"/>
      <c r="L23" s="41"/>
    </row>
    <row r="24" spans="1:17" s="2" customFormat="1" ht="15" customHeight="1" x14ac:dyDescent="0.3">
      <c r="A24" s="17"/>
      <c r="B24" s="13"/>
      <c r="C24" s="13"/>
      <c r="E24" s="410"/>
      <c r="F24" s="420"/>
      <c r="G24" s="421"/>
      <c r="H24" s="425"/>
      <c r="I24" s="90" t="str">
        <f>IF(OR(F24="",H24=""),"",IF(G24=Dades!$C$248,Dades!$D$248,IF(G24=Dades!$C$249,Dades!$D$249,VLOOKUP(F24,Dades!$AE$223:$AF$467,2,0))))</f>
        <v/>
      </c>
      <c r="J24" s="91" t="str">
        <f t="shared" si="0"/>
        <v/>
      </c>
      <c r="K24" s="41"/>
      <c r="L24" s="41"/>
    </row>
    <row r="25" spans="1:17" s="2" customFormat="1" ht="15" customHeight="1" x14ac:dyDescent="0.3">
      <c r="A25" s="17"/>
      <c r="B25" s="13"/>
      <c r="C25" s="13"/>
      <c r="E25" s="410"/>
      <c r="F25" s="420"/>
      <c r="G25" s="421"/>
      <c r="H25" s="425"/>
      <c r="I25" s="90" t="str">
        <f>IF(OR(F25="",H25=""),"",IF(G25=Dades!$C$248,Dades!$D$248,IF(G25=Dades!$C$249,Dades!$D$249,VLOOKUP(F25,Dades!$AE$223:$AF$467,2,0))))</f>
        <v/>
      </c>
      <c r="J25" s="91" t="str">
        <f t="shared" si="0"/>
        <v/>
      </c>
      <c r="K25" s="41"/>
      <c r="L25" s="41"/>
    </row>
    <row r="26" spans="1:17" s="2" customFormat="1" ht="15" customHeight="1" x14ac:dyDescent="0.3">
      <c r="A26" s="17"/>
      <c r="B26" s="13"/>
      <c r="C26" s="13"/>
      <c r="E26" s="410"/>
      <c r="F26" s="420"/>
      <c r="G26" s="421"/>
      <c r="H26" s="425"/>
      <c r="I26" s="90" t="str">
        <f>IF(OR(F26="",H26=""),"",IF(G26=Dades!$C$248,Dades!$D$248,IF(G26=Dades!$C$249,Dades!$D$249,VLOOKUP(F26,Dades!$AE$223:$AF$467,2,0))))</f>
        <v/>
      </c>
      <c r="J26" s="91" t="str">
        <f t="shared" si="0"/>
        <v/>
      </c>
      <c r="K26" s="41"/>
      <c r="L26" s="41"/>
    </row>
    <row r="27" spans="1:17" s="2" customFormat="1" ht="15" customHeight="1" x14ac:dyDescent="0.3">
      <c r="A27" s="17"/>
      <c r="B27" s="13"/>
      <c r="C27" s="13"/>
      <c r="E27" s="410"/>
      <c r="F27" s="420"/>
      <c r="G27" s="421"/>
      <c r="H27" s="425"/>
      <c r="I27" s="90" t="str">
        <f>IF(OR(F27="",H27=""),"",IF(G27=Dades!$C$248,Dades!$D$248,IF(G27=Dades!$C$249,Dades!$D$249,VLOOKUP(F27,Dades!$AE$223:$AF$467,2,0))))</f>
        <v/>
      </c>
      <c r="J27" s="91" t="str">
        <f t="shared" si="0"/>
        <v/>
      </c>
      <c r="K27" s="41"/>
      <c r="L27" s="41"/>
    </row>
    <row r="28" spans="1:17" s="2" customFormat="1" ht="15" customHeight="1" x14ac:dyDescent="0.3">
      <c r="A28" s="17"/>
      <c r="B28" s="13"/>
      <c r="C28" s="13"/>
      <c r="E28" s="410"/>
      <c r="F28" s="420"/>
      <c r="G28" s="421"/>
      <c r="H28" s="425"/>
      <c r="I28" s="90" t="str">
        <f>IF(OR(F28="",H28=""),"",IF(G28=Dades!$C$248,Dades!$D$248,IF(G28=Dades!$C$249,Dades!$D$249,VLOOKUP(F28,Dades!$AE$223:$AF$467,2,0))))</f>
        <v/>
      </c>
      <c r="J28" s="91" t="str">
        <f t="shared" si="0"/>
        <v/>
      </c>
      <c r="K28" s="41"/>
      <c r="L28" s="41"/>
    </row>
    <row r="29" spans="1:17" s="2" customFormat="1" ht="15" customHeight="1" x14ac:dyDescent="0.3">
      <c r="A29" s="17"/>
      <c r="B29" s="13"/>
      <c r="C29" s="13"/>
      <c r="E29" s="410"/>
      <c r="F29" s="420"/>
      <c r="G29" s="421"/>
      <c r="H29" s="425"/>
      <c r="I29" s="90" t="str">
        <f>IF(OR(F29="",H29=""),"",IF(G29=Dades!$C$248,Dades!$D$248,IF(G29=Dades!$C$249,Dades!$D$249,VLOOKUP(F29,Dades!$AE$223:$AF$467,2,0))))</f>
        <v/>
      </c>
      <c r="J29" s="91" t="str">
        <f t="shared" si="0"/>
        <v/>
      </c>
      <c r="K29" s="41"/>
      <c r="L29" s="41"/>
    </row>
    <row r="30" spans="1:17" s="2" customFormat="1" ht="15" customHeight="1" x14ac:dyDescent="0.3">
      <c r="A30" s="17"/>
      <c r="B30" s="13"/>
      <c r="C30" s="13"/>
      <c r="E30" s="410"/>
      <c r="F30" s="420"/>
      <c r="G30" s="421"/>
      <c r="H30" s="425"/>
      <c r="I30" s="90" t="str">
        <f>IF(OR(F30="",H30=""),"",IF(G30=Dades!$C$248,Dades!$D$248,IF(G30=Dades!$C$249,Dades!$D$249,VLOOKUP(F30,Dades!$AE$223:$AF$467,2,0))))</f>
        <v/>
      </c>
      <c r="J30" s="91" t="str">
        <f t="shared" si="0"/>
        <v/>
      </c>
      <c r="K30" s="41"/>
      <c r="L30" s="41"/>
    </row>
    <row r="31" spans="1:17" s="2" customFormat="1" ht="15" customHeight="1" x14ac:dyDescent="0.3">
      <c r="A31" s="17"/>
      <c r="B31" s="13"/>
      <c r="C31" s="13"/>
      <c r="E31" s="410"/>
      <c r="F31" s="420"/>
      <c r="G31" s="421"/>
      <c r="H31" s="425"/>
      <c r="I31" s="90" t="str">
        <f>IF(OR(F31="",H31=""),"",IF(G31=Dades!$C$248,Dades!$D$248,IF(G31=Dades!$C$249,Dades!$D$249,VLOOKUP(F31,Dades!$AE$223:$AF$467,2,0))))</f>
        <v/>
      </c>
      <c r="J31" s="91" t="str">
        <f t="shared" si="0"/>
        <v/>
      </c>
      <c r="K31" s="41"/>
      <c r="L31" s="41"/>
    </row>
    <row r="32" spans="1:17" s="2" customFormat="1" ht="15" customHeight="1" x14ac:dyDescent="0.3">
      <c r="A32" s="47"/>
      <c r="B32" s="13"/>
      <c r="C32" s="13"/>
      <c r="E32" s="410"/>
      <c r="F32" s="420"/>
      <c r="G32" s="421"/>
      <c r="H32" s="425"/>
      <c r="I32" s="90" t="str">
        <f>IF(OR(F32="",H32=""),"",IF(G32=Dades!$C$248,Dades!$D$248,IF(G32=Dades!$C$249,Dades!$D$249,VLOOKUP(F32,Dades!$AE$223:$AF$467,2,0))))</f>
        <v/>
      </c>
      <c r="J32" s="91" t="str">
        <f t="shared" si="0"/>
        <v/>
      </c>
      <c r="K32" s="41"/>
      <c r="L32" s="41"/>
    </row>
    <row r="33" spans="1:17" s="2" customFormat="1" ht="15" customHeight="1" x14ac:dyDescent="0.3">
      <c r="A33" s="47"/>
      <c r="B33" s="13"/>
      <c r="C33" s="13"/>
      <c r="E33" s="410"/>
      <c r="F33" s="420"/>
      <c r="G33" s="421"/>
      <c r="H33" s="425"/>
      <c r="I33" s="90" t="str">
        <f>IF(OR(F33="",H33=""),"",IF(G33=Dades!$C$248,Dades!$D$248,IF(G33=Dades!$C$249,Dades!$D$249,VLOOKUP(F33,Dades!$AE$223:$AF$467,2,0))))</f>
        <v/>
      </c>
      <c r="J33" s="91" t="str">
        <f t="shared" si="0"/>
        <v/>
      </c>
      <c r="K33" s="41"/>
      <c r="L33" s="41"/>
    </row>
    <row r="34" spans="1:17" s="2" customFormat="1" ht="15" customHeight="1" x14ac:dyDescent="0.3">
      <c r="A34" s="47"/>
      <c r="B34" s="13"/>
      <c r="C34" s="13"/>
      <c r="E34" s="410"/>
      <c r="F34" s="420"/>
      <c r="G34" s="421"/>
      <c r="H34" s="425"/>
      <c r="I34" s="90" t="str">
        <f>IF(OR(F34="",H34=""),"",IF(G34=Dades!$C$248,Dades!$D$248,IF(G34=Dades!$C$249,Dades!$D$249,VLOOKUP(F34,Dades!$AE$223:$AF$467,2,0))))</f>
        <v/>
      </c>
      <c r="J34" s="91" t="str">
        <f t="shared" si="0"/>
        <v/>
      </c>
      <c r="K34" s="41"/>
      <c r="L34" s="41"/>
    </row>
    <row r="35" spans="1:17" s="2" customFormat="1" ht="15" customHeight="1" x14ac:dyDescent="0.3">
      <c r="A35" s="47"/>
      <c r="B35" s="13"/>
      <c r="C35" s="13"/>
      <c r="E35" s="410"/>
      <c r="F35" s="420"/>
      <c r="G35" s="421"/>
      <c r="H35" s="425"/>
      <c r="I35" s="90" t="str">
        <f>IF(OR(F35="",H35=""),"",IF(G35=Dades!$C$248,Dades!$D$248,IF(G35=Dades!$C$249,Dades!$D$249,VLOOKUP(F35,Dades!$AE$223:$AF$467,2,0))))</f>
        <v/>
      </c>
      <c r="J35" s="91" t="str">
        <f t="shared" si="0"/>
        <v/>
      </c>
      <c r="K35" s="41"/>
      <c r="L35" s="41"/>
    </row>
    <row r="36" spans="1:17" s="2" customFormat="1" ht="15" customHeight="1" x14ac:dyDescent="0.3">
      <c r="A36" s="47"/>
      <c r="B36" s="13"/>
      <c r="C36" s="13"/>
      <c r="E36" s="410"/>
      <c r="F36" s="420"/>
      <c r="G36" s="421"/>
      <c r="H36" s="425"/>
      <c r="I36" s="90" t="str">
        <f>IF(OR(F36="",H36=""),"",IF(G36=Dades!$C$248,Dades!$D$248,IF(G36=Dades!$C$249,Dades!$D$249,VLOOKUP(F36,Dades!$AE$223:$AF$467,2,0))))</f>
        <v/>
      </c>
      <c r="J36" s="91" t="str">
        <f t="shared" si="0"/>
        <v/>
      </c>
      <c r="K36" s="41"/>
      <c r="L36" s="41"/>
    </row>
    <row r="37" spans="1:17" s="2" customFormat="1" x14ac:dyDescent="0.3">
      <c r="A37" s="47"/>
      <c r="B37" s="13"/>
      <c r="C37" s="13"/>
      <c r="E37" s="410"/>
      <c r="F37" s="420"/>
      <c r="G37" s="421"/>
      <c r="H37" s="425"/>
      <c r="I37" s="90" t="str">
        <f>IF(OR(F37="",H37=""),"",IF(G37=Dades!$C$248,Dades!$D$248,IF(G37=Dades!$C$249,Dades!$D$249,VLOOKUP(F37,Dades!$AE$223:$AF$467,2,0))))</f>
        <v/>
      </c>
      <c r="J37" s="91" t="str">
        <f t="shared" si="0"/>
        <v/>
      </c>
      <c r="K37" s="41"/>
      <c r="L37" s="41"/>
    </row>
    <row r="38" spans="1:17" s="2" customFormat="1" x14ac:dyDescent="0.3">
      <c r="A38" s="47"/>
      <c r="B38" s="13"/>
      <c r="C38" s="13"/>
      <c r="E38" s="410"/>
      <c r="F38" s="420"/>
      <c r="G38" s="421"/>
      <c r="H38" s="425"/>
      <c r="I38" s="90" t="str">
        <f>IF(OR(F38="",H38=""),"",IF(G38=Dades!$C$248,Dades!$D$248,IF(G38=Dades!$C$249,Dades!$D$249,VLOOKUP(F38,Dades!$AE$223:$AF$467,2,0))))</f>
        <v/>
      </c>
      <c r="J38" s="91" t="str">
        <f t="shared" si="0"/>
        <v/>
      </c>
      <c r="K38" s="41"/>
      <c r="L38" s="41"/>
    </row>
    <row r="39" spans="1:17" s="2" customFormat="1" x14ac:dyDescent="0.3">
      <c r="A39" s="47"/>
      <c r="B39" s="13"/>
      <c r="C39" s="13"/>
      <c r="E39" s="410"/>
      <c r="F39" s="420"/>
      <c r="G39" s="421"/>
      <c r="H39" s="425"/>
      <c r="I39" s="90" t="str">
        <f>IF(OR(F39="",H39=""),"",IF(G39=Dades!$C$248,Dades!$D$248,IF(G39=Dades!$C$249,Dades!$D$249,VLOOKUP(F39,Dades!$AE$223:$AF$467,2,0))))</f>
        <v/>
      </c>
      <c r="J39" s="91" t="str">
        <f t="shared" si="0"/>
        <v/>
      </c>
      <c r="K39" s="41"/>
      <c r="L39" s="41"/>
    </row>
    <row r="40" spans="1:17" s="2" customFormat="1" x14ac:dyDescent="0.3">
      <c r="A40" s="47"/>
      <c r="B40" s="13"/>
      <c r="C40" s="13"/>
      <c r="E40" s="410"/>
      <c r="F40" s="420"/>
      <c r="G40" s="421"/>
      <c r="H40" s="425"/>
      <c r="I40" s="90" t="str">
        <f>IF(OR(F40="",H40=""),"",IF(G40=Dades!$C$248,Dades!$D$248,IF(G40=Dades!$C$249,Dades!$D$249,VLOOKUP(F40,Dades!$AE$223:$AF$467,2,0))))</f>
        <v/>
      </c>
      <c r="J40" s="91" t="str">
        <f t="shared" si="0"/>
        <v/>
      </c>
      <c r="K40" s="41"/>
      <c r="L40" s="41"/>
    </row>
    <row r="41" spans="1:17" s="2" customFormat="1" x14ac:dyDescent="0.3">
      <c r="A41" s="47"/>
      <c r="B41" s="13"/>
      <c r="C41" s="13"/>
      <c r="E41" s="410"/>
      <c r="F41" s="420"/>
      <c r="G41" s="421"/>
      <c r="H41" s="425"/>
      <c r="I41" s="90" t="str">
        <f>IF(OR(F41="",H41=""),"",IF(G41=Dades!$C$248,Dades!$D$248,IF(G41=Dades!$C$249,Dades!$D$249,VLOOKUP(F41,Dades!$AE$223:$AF$467,2,0))))</f>
        <v/>
      </c>
      <c r="J41" s="91" t="str">
        <f t="shared" si="0"/>
        <v/>
      </c>
      <c r="K41" s="41"/>
      <c r="L41" s="41"/>
    </row>
    <row r="42" spans="1:17" s="2" customFormat="1" x14ac:dyDescent="0.3">
      <c r="A42" s="47"/>
      <c r="B42" s="13"/>
      <c r="C42" s="13"/>
    </row>
    <row r="43" spans="1:17" s="26" customFormat="1" ht="16.5" customHeight="1" x14ac:dyDescent="0.25">
      <c r="A43" s="47"/>
      <c r="B43" s="16"/>
      <c r="C43" s="13"/>
      <c r="D43" s="469" t="s">
        <v>124</v>
      </c>
      <c r="E43" s="469"/>
      <c r="F43" s="469"/>
      <c r="G43" s="469"/>
      <c r="H43" s="469"/>
      <c r="I43" s="469"/>
      <c r="J43" s="469"/>
      <c r="K43" s="469"/>
      <c r="L43" s="46"/>
      <c r="M43" s="46"/>
      <c r="N43" s="27"/>
      <c r="O43" s="27"/>
      <c r="P43" s="27"/>
      <c r="Q43" s="27"/>
    </row>
    <row r="44" spans="1:17" s="2" customFormat="1" ht="42" customHeight="1" x14ac:dyDescent="0.3">
      <c r="A44" s="47"/>
      <c r="B44" s="13"/>
      <c r="C44" s="13"/>
      <c r="D44" s="483" t="s">
        <v>125</v>
      </c>
      <c r="E44" s="483"/>
      <c r="F44" s="483"/>
      <c r="G44" s="483"/>
      <c r="H44" s="483"/>
      <c r="I44" s="483"/>
      <c r="J44" s="483"/>
      <c r="K44" s="483"/>
      <c r="L44" s="100"/>
      <c r="M44" s="46"/>
    </row>
    <row r="45" spans="1:17" s="2" customFormat="1" ht="68.25" customHeight="1" x14ac:dyDescent="0.3">
      <c r="A45" s="47"/>
      <c r="B45" s="13"/>
      <c r="C45" s="13"/>
      <c r="E45" s="440" t="s">
        <v>126</v>
      </c>
      <c r="F45" s="440"/>
      <c r="G45" s="440"/>
      <c r="H45" s="440"/>
      <c r="I45" s="440"/>
      <c r="J45" s="440"/>
      <c r="K45" s="440"/>
    </row>
    <row r="46" spans="1:17" s="2" customFormat="1" ht="25.5" customHeight="1" x14ac:dyDescent="0.3">
      <c r="A46" s="47"/>
      <c r="B46" s="13"/>
      <c r="C46" s="13"/>
      <c r="E46" s="494" t="s">
        <v>127</v>
      </c>
      <c r="F46" s="494"/>
      <c r="G46" s="494"/>
      <c r="H46" s="494"/>
      <c r="I46" s="494"/>
      <c r="J46" s="494"/>
      <c r="K46" s="494"/>
    </row>
    <row r="47" spans="1:17" s="2" customFormat="1" ht="16.5" customHeight="1" x14ac:dyDescent="0.3">
      <c r="A47" s="47"/>
      <c r="B47" s="13"/>
      <c r="C47" s="13"/>
      <c r="E47" s="480" t="s">
        <v>128</v>
      </c>
      <c r="F47" s="480" t="s">
        <v>129</v>
      </c>
      <c r="G47" s="480" t="s">
        <v>119</v>
      </c>
      <c r="H47" s="480" t="s">
        <v>130</v>
      </c>
      <c r="I47" s="480" t="s">
        <v>131</v>
      </c>
      <c r="J47" s="480" t="s">
        <v>110</v>
      </c>
      <c r="K47" s="480" t="s">
        <v>132</v>
      </c>
      <c r="L47" s="68"/>
      <c r="M47" s="68"/>
    </row>
    <row r="48" spans="1:17" s="2" customFormat="1" x14ac:dyDescent="0.3">
      <c r="A48" s="47"/>
      <c r="B48" s="13"/>
      <c r="C48" s="13"/>
      <c r="E48" s="480"/>
      <c r="F48" s="480"/>
      <c r="G48" s="480"/>
      <c r="H48" s="480"/>
      <c r="I48" s="480"/>
      <c r="J48" s="480"/>
      <c r="K48" s="480"/>
    </row>
    <row r="49" spans="1:12" s="2" customFormat="1" x14ac:dyDescent="0.3">
      <c r="A49" s="47"/>
      <c r="B49" s="13"/>
      <c r="C49" s="13"/>
      <c r="E49" s="426"/>
      <c r="F49" s="420"/>
      <c r="G49" s="427"/>
      <c r="H49" s="425"/>
      <c r="I49" s="90" t="str">
        <f>IF(OR(F49="",H49=""),"",IF(G49=Dades!$C$248,Dades!$D$248,IF(G49=Dades!$C$249,Dades!$D$249,VLOOKUP(F49,Dades!$AE$223:$AF$467,2,0))))</f>
        <v/>
      </c>
      <c r="J49" s="91" t="str">
        <f>IF(I49="","",H49*I49)</f>
        <v/>
      </c>
      <c r="K49" s="58">
        <f>SUM(J49:J68)</f>
        <v>0</v>
      </c>
    </row>
    <row r="50" spans="1:12" s="2" customFormat="1" x14ac:dyDescent="0.3">
      <c r="A50" s="47"/>
      <c r="B50" s="13"/>
      <c r="C50" s="13"/>
      <c r="E50" s="426"/>
      <c r="F50" s="420"/>
      <c r="G50" s="427"/>
      <c r="H50" s="425"/>
      <c r="I50" s="90" t="str">
        <f>IF(OR(F50="",H50=""),"",IF(G50=Dades!$C$248,Dades!$D$248,IF(G50=Dades!$C$249,Dades!$D$249,VLOOKUP(F50,Dades!$AE$223:$AF$467,2,0))))</f>
        <v/>
      </c>
      <c r="J50" s="91" t="str">
        <f t="shared" ref="J50:J68" si="1">IF(I50="","",H50*I50)</f>
        <v/>
      </c>
      <c r="K50" s="41"/>
    </row>
    <row r="51" spans="1:12" s="2" customFormat="1" x14ac:dyDescent="0.3">
      <c r="A51" s="22"/>
      <c r="B51" s="13"/>
      <c r="C51" s="13"/>
      <c r="E51" s="426"/>
      <c r="F51" s="420"/>
      <c r="G51" s="427"/>
      <c r="H51" s="425"/>
      <c r="I51" s="90" t="str">
        <f>IF(OR(F51="",H51=""),"",IF(G51=Dades!$C$248,Dades!$D$248,IF(G51=Dades!$C$249,Dades!$D$249,VLOOKUP(F51,Dades!$AE$223:$AF$467,2,0))))</f>
        <v/>
      </c>
      <c r="J51" s="91" t="str">
        <f t="shared" si="1"/>
        <v/>
      </c>
      <c r="K51" s="41"/>
    </row>
    <row r="52" spans="1:12" s="2" customFormat="1" x14ac:dyDescent="0.3">
      <c r="A52" s="22"/>
      <c r="B52" s="13"/>
      <c r="C52" s="13"/>
      <c r="E52" s="426"/>
      <c r="F52" s="420"/>
      <c r="G52" s="427"/>
      <c r="H52" s="425"/>
      <c r="I52" s="90" t="str">
        <f>IF(OR(F52="",H52=""),"",IF(G52=Dades!$C$248,Dades!$D$248,IF(G52=Dades!$C$249,Dades!$D$249,VLOOKUP(F52,Dades!$AE$223:$AF$467,2,0))))</f>
        <v/>
      </c>
      <c r="J52" s="91" t="str">
        <f t="shared" si="1"/>
        <v/>
      </c>
      <c r="K52" s="41"/>
    </row>
    <row r="53" spans="1:12" s="2" customFormat="1" x14ac:dyDescent="0.3">
      <c r="A53" s="22"/>
      <c r="B53" s="13"/>
      <c r="C53" s="13"/>
      <c r="E53" s="426"/>
      <c r="F53" s="420"/>
      <c r="G53" s="427"/>
      <c r="H53" s="425"/>
      <c r="I53" s="90" t="str">
        <f>IF(OR(F53="",H53=""),"",IF(G53=Dades!$C$248,Dades!$D$248,IF(G53=Dades!$C$249,Dades!$D$249,VLOOKUP(F53,Dades!$AE$223:$AF$467,2,0))))</f>
        <v/>
      </c>
      <c r="J53" s="91" t="str">
        <f t="shared" si="1"/>
        <v/>
      </c>
      <c r="K53" s="41"/>
    </row>
    <row r="54" spans="1:12" s="2" customFormat="1" x14ac:dyDescent="0.3">
      <c r="A54" s="13"/>
      <c r="B54" s="13"/>
      <c r="C54" s="13"/>
      <c r="E54" s="426"/>
      <c r="F54" s="420"/>
      <c r="G54" s="427"/>
      <c r="H54" s="425"/>
      <c r="I54" s="90" t="str">
        <f>IF(OR(F54="",H54=""),"",IF(G54=Dades!$C$248,Dades!$D$248,IF(G54=Dades!$C$249,Dades!$D$249,VLOOKUP(F54,Dades!$AE$223:$AF$467,2,0))))</f>
        <v/>
      </c>
      <c r="J54" s="91" t="str">
        <f t="shared" si="1"/>
        <v/>
      </c>
      <c r="K54" s="41"/>
    </row>
    <row r="55" spans="1:12" s="2" customFormat="1" x14ac:dyDescent="0.3">
      <c r="A55" s="26"/>
      <c r="B55" s="26"/>
      <c r="C55" s="26"/>
      <c r="E55" s="426"/>
      <c r="F55" s="420"/>
      <c r="G55" s="427"/>
      <c r="H55" s="425"/>
      <c r="I55" s="90" t="str">
        <f>IF(OR(F55="",H55=""),"",IF(G55=Dades!$C$248,Dades!$D$248,IF(G55=Dades!$C$249,Dades!$D$249,VLOOKUP(F55,Dades!$AE$223:$AF$467,2,0))))</f>
        <v/>
      </c>
      <c r="J55" s="91" t="str">
        <f t="shared" si="1"/>
        <v/>
      </c>
      <c r="K55" s="41"/>
    </row>
    <row r="56" spans="1:12" s="2" customFormat="1" x14ac:dyDescent="0.3">
      <c r="A56" s="26"/>
      <c r="B56" s="26"/>
      <c r="C56" s="26"/>
      <c r="E56" s="426"/>
      <c r="F56" s="420"/>
      <c r="G56" s="427"/>
      <c r="H56" s="425"/>
      <c r="I56" s="90" t="str">
        <f>IF(OR(F56="",H56=""),"",IF(G56=Dades!$C$248,Dades!$D$248,IF(G56=Dades!$C$249,Dades!$D$249,VLOOKUP(F56,Dades!$AE$223:$AF$467,2,0))))</f>
        <v/>
      </c>
      <c r="J56" s="91" t="str">
        <f t="shared" si="1"/>
        <v/>
      </c>
      <c r="K56" s="41"/>
    </row>
    <row r="57" spans="1:12" s="2" customFormat="1" x14ac:dyDescent="0.3">
      <c r="A57" s="26"/>
      <c r="B57" s="26"/>
      <c r="C57" s="26"/>
      <c r="E57" s="426"/>
      <c r="F57" s="420"/>
      <c r="G57" s="427"/>
      <c r="H57" s="425"/>
      <c r="I57" s="90" t="str">
        <f>IF(OR(F57="",H57=""),"",IF(G57=Dades!$C$248,Dades!$D$248,IF(G57=Dades!$C$249,Dades!$D$249,VLOOKUP(F57,Dades!$AE$223:$AF$467,2,0))))</f>
        <v/>
      </c>
      <c r="J57" s="91" t="str">
        <f t="shared" si="1"/>
        <v/>
      </c>
      <c r="K57" s="41"/>
    </row>
    <row r="58" spans="1:12" s="2" customFormat="1" x14ac:dyDescent="0.3">
      <c r="A58" s="26"/>
      <c r="B58" s="26"/>
      <c r="C58" s="26"/>
      <c r="E58" s="426"/>
      <c r="F58" s="420"/>
      <c r="G58" s="427"/>
      <c r="H58" s="425"/>
      <c r="I58" s="90" t="str">
        <f>IF(OR(F58="",H58=""),"",IF(G58=Dades!$C$248,Dades!$D$248,IF(G58=Dades!$C$249,Dades!$D$249,VLOOKUP(F58,Dades!$AE$223:$AF$467,2,0))))</f>
        <v/>
      </c>
      <c r="J58" s="91" t="str">
        <f t="shared" si="1"/>
        <v/>
      </c>
      <c r="K58" s="41"/>
    </row>
    <row r="59" spans="1:12" s="2" customFormat="1" x14ac:dyDescent="0.3">
      <c r="A59" s="26"/>
      <c r="B59" s="26"/>
      <c r="C59" s="26"/>
      <c r="E59" s="426"/>
      <c r="F59" s="420"/>
      <c r="G59" s="427"/>
      <c r="H59" s="425"/>
      <c r="I59" s="90" t="str">
        <f>IF(OR(F59="",H59=""),"",IF(G59=Dades!$C$248,Dades!$D$248,IF(G59=Dades!$C$249,Dades!$D$249,VLOOKUP(F59,Dades!$AE$223:$AF$467,2,0))))</f>
        <v/>
      </c>
      <c r="J59" s="91" t="str">
        <f t="shared" si="1"/>
        <v/>
      </c>
      <c r="K59" s="41"/>
      <c r="L59" s="41"/>
    </row>
    <row r="60" spans="1:12" s="2" customFormat="1" x14ac:dyDescent="0.3">
      <c r="A60" s="26"/>
      <c r="B60" s="26"/>
      <c r="C60" s="26"/>
      <c r="E60" s="426"/>
      <c r="F60" s="420"/>
      <c r="G60" s="427"/>
      <c r="H60" s="425"/>
      <c r="I60" s="90" t="str">
        <f>IF(OR(F60="",H60=""),"",IF(G60=Dades!$C$248,Dades!$D$248,IF(G60=Dades!$C$249,Dades!$D$249,VLOOKUP(F60,Dades!$AE$223:$AF$467,2,0))))</f>
        <v/>
      </c>
      <c r="J60" s="91" t="str">
        <f t="shared" si="1"/>
        <v/>
      </c>
      <c r="K60" s="41"/>
      <c r="L60" s="41"/>
    </row>
    <row r="61" spans="1:12" s="2" customFormat="1" x14ac:dyDescent="0.3">
      <c r="A61" s="26"/>
      <c r="B61" s="26"/>
      <c r="C61" s="26"/>
      <c r="E61" s="426"/>
      <c r="F61" s="420"/>
      <c r="G61" s="427"/>
      <c r="H61" s="425"/>
      <c r="I61" s="90" t="str">
        <f>IF(OR(F61="",H61=""),"",IF(G61=Dades!$C$248,Dades!$D$248,IF(G61=Dades!$C$249,Dades!$D$249,VLOOKUP(F61,Dades!$AE$223:$AF$467,2,0))))</f>
        <v/>
      </c>
      <c r="J61" s="91" t="str">
        <f t="shared" si="1"/>
        <v/>
      </c>
      <c r="K61" s="41"/>
      <c r="L61" s="41"/>
    </row>
    <row r="62" spans="1:12" s="2" customFormat="1" x14ac:dyDescent="0.3">
      <c r="A62" s="26"/>
      <c r="B62" s="26"/>
      <c r="C62" s="26"/>
      <c r="E62" s="426"/>
      <c r="F62" s="420"/>
      <c r="G62" s="427"/>
      <c r="H62" s="425"/>
      <c r="I62" s="90" t="str">
        <f>IF(OR(F62="",H62=""),"",IF(G62=Dades!$C$248,Dades!$D$248,IF(G62=Dades!$C$249,Dades!$D$249,VLOOKUP(F62,Dades!$AE$223:$AF$467,2,0))))</f>
        <v/>
      </c>
      <c r="J62" s="91" t="str">
        <f t="shared" si="1"/>
        <v/>
      </c>
      <c r="K62" s="41"/>
      <c r="L62" s="41"/>
    </row>
    <row r="63" spans="1:12" s="2" customFormat="1" x14ac:dyDescent="0.3">
      <c r="A63" s="26"/>
      <c r="B63" s="26"/>
      <c r="C63" s="26"/>
      <c r="E63" s="426"/>
      <c r="F63" s="420"/>
      <c r="G63" s="427"/>
      <c r="H63" s="425"/>
      <c r="I63" s="90" t="str">
        <f>IF(OR(F63="",H63=""),"",IF(G63=Dades!$C$248,Dades!$D$248,IF(G63=Dades!$C$249,Dades!$D$249,VLOOKUP(F63,Dades!$AE$223:$AF$467,2,0))))</f>
        <v/>
      </c>
      <c r="J63" s="91" t="str">
        <f t="shared" si="1"/>
        <v/>
      </c>
      <c r="K63" s="41"/>
      <c r="L63" s="41"/>
    </row>
    <row r="64" spans="1:12" s="2" customFormat="1" x14ac:dyDescent="0.3">
      <c r="A64" s="26"/>
      <c r="B64" s="26"/>
      <c r="C64" s="26"/>
      <c r="E64" s="426"/>
      <c r="F64" s="420"/>
      <c r="G64" s="427"/>
      <c r="H64" s="425"/>
      <c r="I64" s="90" t="str">
        <f>IF(OR(F64="",H64=""),"",IF(G64=Dades!$C$248,Dades!$D$248,IF(G64=Dades!$C$249,Dades!$D$249,VLOOKUP(F64,Dades!$AE$223:$AF$467,2,0))))</f>
        <v/>
      </c>
      <c r="J64" s="91" t="str">
        <f t="shared" si="1"/>
        <v/>
      </c>
      <c r="K64" s="41"/>
      <c r="L64" s="41"/>
    </row>
    <row r="65" spans="1:57" s="2" customFormat="1" x14ac:dyDescent="0.3">
      <c r="A65" s="26"/>
      <c r="B65" s="26"/>
      <c r="C65" s="26"/>
      <c r="E65" s="426"/>
      <c r="F65" s="420"/>
      <c r="G65" s="427"/>
      <c r="H65" s="425"/>
      <c r="I65" s="90" t="str">
        <f>IF(OR(F65="",H65=""),"",IF(G65=Dades!$C$248,Dades!$D$248,IF(G65=Dades!$C$249,Dades!$D$249,VLOOKUP(F65,Dades!$AE$223:$AF$467,2,0))))</f>
        <v/>
      </c>
      <c r="J65" s="91" t="str">
        <f t="shared" si="1"/>
        <v/>
      </c>
      <c r="K65" s="41"/>
    </row>
    <row r="66" spans="1:57" s="2" customFormat="1" x14ac:dyDescent="0.3">
      <c r="A66" s="26"/>
      <c r="B66" s="26"/>
      <c r="C66" s="26"/>
      <c r="E66" s="426"/>
      <c r="F66" s="420"/>
      <c r="G66" s="427"/>
      <c r="H66" s="425"/>
      <c r="I66" s="90" t="str">
        <f>IF(OR(F66="",H66=""),"",IF(G66=Dades!$C$248,Dades!$D$248,IF(G66=Dades!$C$249,Dades!$D$249,VLOOKUP(F66,Dades!$AE$223:$AF$467,2,0))))</f>
        <v/>
      </c>
      <c r="J66" s="91" t="str">
        <f t="shared" si="1"/>
        <v/>
      </c>
      <c r="K66" s="41"/>
    </row>
    <row r="67" spans="1:57" s="2" customFormat="1" x14ac:dyDescent="0.3">
      <c r="A67" s="26"/>
      <c r="B67" s="26"/>
      <c r="C67" s="26"/>
      <c r="E67" s="426"/>
      <c r="F67" s="420"/>
      <c r="G67" s="427"/>
      <c r="H67" s="425"/>
      <c r="I67" s="90" t="str">
        <f>IF(OR(F67="",H67=""),"",IF(G67=Dades!$C$248,Dades!$D$248,IF(G67=Dades!$C$249,Dades!$D$249,VLOOKUP(F67,Dades!$AE$223:$AF$467,2,0))))</f>
        <v/>
      </c>
      <c r="J67" s="91" t="str">
        <f t="shared" si="1"/>
        <v/>
      </c>
      <c r="K67" s="41"/>
    </row>
    <row r="68" spans="1:57" s="2" customFormat="1" x14ac:dyDescent="0.3">
      <c r="A68" s="26"/>
      <c r="B68" s="26"/>
      <c r="C68" s="26"/>
      <c r="E68" s="426"/>
      <c r="F68" s="420"/>
      <c r="G68" s="427"/>
      <c r="H68" s="425"/>
      <c r="I68" s="90" t="str">
        <f>IF(OR(F68="",H68=""),"",IF(G68=Dades!$C$248,Dades!$D$248,IF(G68=Dades!$C$249,Dades!$D$249,VLOOKUP(F68,Dades!$AE$223:$AF$467,2,0))))</f>
        <v/>
      </c>
      <c r="J68" s="91" t="str">
        <f t="shared" si="1"/>
        <v/>
      </c>
      <c r="K68" s="41"/>
    </row>
    <row r="69" spans="1:57" s="2" customFormat="1" x14ac:dyDescent="0.3">
      <c r="A69" s="13"/>
      <c r="B69" s="13"/>
      <c r="C69" s="13"/>
      <c r="J69" s="101"/>
    </row>
    <row r="70" spans="1:57" s="2" customFormat="1" x14ac:dyDescent="0.3">
      <c r="A70" s="13"/>
      <c r="B70" s="13"/>
      <c r="C70" s="13"/>
      <c r="J70" s="101"/>
    </row>
    <row r="71" spans="1:57" s="2" customFormat="1" x14ac:dyDescent="0.3">
      <c r="A71" s="13"/>
      <c r="B71" s="13"/>
      <c r="C71" s="13"/>
      <c r="G71" s="83"/>
      <c r="H71" s="83"/>
      <c r="I71" s="83"/>
      <c r="J71" s="83"/>
      <c r="K71" s="83"/>
      <c r="L71" s="83"/>
      <c r="M71" s="83"/>
      <c r="AW71" s="83"/>
      <c r="AX71" s="83"/>
      <c r="AY71" s="83"/>
      <c r="AZ71" s="83"/>
      <c r="BA71" s="83"/>
      <c r="BB71" s="83"/>
      <c r="BC71" s="83"/>
      <c r="BD71" s="83"/>
      <c r="BE71" s="83"/>
    </row>
    <row r="72" spans="1:57" s="2" customFormat="1" x14ac:dyDescent="0.3">
      <c r="A72" s="13"/>
      <c r="B72" s="13"/>
      <c r="C72" s="13"/>
      <c r="G72" s="83"/>
      <c r="H72" s="83"/>
      <c r="I72" s="83"/>
      <c r="J72" s="83"/>
      <c r="K72" s="83"/>
      <c r="L72" s="83"/>
      <c r="M72" s="83"/>
      <c r="AW72" s="83"/>
      <c r="AX72" s="83"/>
      <c r="AY72" s="83"/>
      <c r="AZ72" s="83"/>
      <c r="BA72" s="83"/>
      <c r="BB72" s="83"/>
      <c r="BC72" s="83"/>
      <c r="BD72" s="83"/>
      <c r="BE72" s="83"/>
    </row>
    <row r="73" spans="1:57" s="2" customFormat="1" x14ac:dyDescent="0.3">
      <c r="A73" s="13"/>
      <c r="B73" s="13"/>
      <c r="C73" s="13"/>
      <c r="G73" s="83"/>
      <c r="H73" s="83"/>
      <c r="I73" s="83"/>
      <c r="J73" s="83"/>
      <c r="K73" s="83"/>
      <c r="L73" s="83"/>
      <c r="M73" s="83"/>
      <c r="AW73" s="83"/>
      <c r="AX73" s="83"/>
      <c r="AY73" s="83"/>
      <c r="AZ73" s="83"/>
      <c r="BA73" s="83"/>
      <c r="BB73" s="83"/>
      <c r="BC73" s="83"/>
      <c r="BD73" s="83"/>
      <c r="BE73" s="83"/>
    </row>
    <row r="74" spans="1:57" s="2" customFormat="1" x14ac:dyDescent="0.3">
      <c r="A74" s="13"/>
      <c r="B74" s="13"/>
      <c r="C74" s="13"/>
      <c r="G74" s="83"/>
      <c r="H74" s="83"/>
      <c r="I74" s="83"/>
      <c r="J74" s="83"/>
      <c r="K74" s="83"/>
      <c r="L74" s="83"/>
      <c r="M74" s="83"/>
      <c r="AW74" s="83"/>
      <c r="AX74" s="83"/>
      <c r="AY74" s="83"/>
      <c r="AZ74" s="83"/>
      <c r="BA74" s="83"/>
      <c r="BB74" s="83"/>
      <c r="BC74" s="83"/>
      <c r="BD74" s="83"/>
      <c r="BE74" s="83"/>
    </row>
    <row r="75" spans="1:57" s="2" customFormat="1" x14ac:dyDescent="0.3">
      <c r="A75" s="13"/>
      <c r="B75" s="13"/>
      <c r="C75" s="13"/>
      <c r="G75" s="83"/>
      <c r="H75" s="83"/>
      <c r="I75" s="83"/>
      <c r="J75" s="83"/>
      <c r="K75" s="83"/>
      <c r="L75" s="83"/>
      <c r="M75" s="83"/>
      <c r="AW75" s="83"/>
      <c r="AX75" s="83"/>
      <c r="AY75" s="83"/>
      <c r="AZ75" s="83"/>
      <c r="BA75" s="83"/>
      <c r="BB75" s="83"/>
      <c r="BC75" s="83"/>
      <c r="BD75" s="83"/>
      <c r="BE75" s="83"/>
    </row>
    <row r="76" spans="1:57" s="2" customFormat="1" x14ac:dyDescent="0.3">
      <c r="A76" s="13"/>
      <c r="B76" s="13"/>
      <c r="C76" s="13"/>
      <c r="G76" s="83"/>
      <c r="H76" s="83"/>
      <c r="I76" s="83"/>
      <c r="J76" s="83"/>
      <c r="K76" s="83"/>
      <c r="L76" s="83"/>
      <c r="M76" s="83"/>
      <c r="AW76" s="83"/>
      <c r="AX76" s="83"/>
      <c r="AY76" s="83"/>
      <c r="AZ76" s="83"/>
      <c r="BA76" s="83"/>
      <c r="BB76" s="83"/>
      <c r="BC76" s="83"/>
      <c r="BD76" s="83"/>
      <c r="BE76" s="83"/>
    </row>
    <row r="77" spans="1:57" s="2" customFormat="1" x14ac:dyDescent="0.3">
      <c r="A77" s="13"/>
      <c r="B77" s="13"/>
      <c r="C77" s="13"/>
      <c r="G77" s="83"/>
      <c r="H77" s="83"/>
      <c r="I77" s="83"/>
      <c r="J77" s="83"/>
      <c r="K77" s="83"/>
      <c r="L77" s="83"/>
      <c r="M77" s="83"/>
      <c r="AW77" s="83"/>
      <c r="AX77" s="83"/>
      <c r="AY77" s="83"/>
      <c r="AZ77" s="83"/>
      <c r="BA77" s="83"/>
      <c r="BB77" s="83"/>
      <c r="BC77" s="83"/>
      <c r="BD77" s="83"/>
      <c r="BE77" s="83"/>
    </row>
    <row r="78" spans="1:57" s="2" customFormat="1" x14ac:dyDescent="0.3">
      <c r="A78" s="13"/>
      <c r="B78" s="13"/>
      <c r="C78" s="13"/>
      <c r="G78" s="83"/>
      <c r="H78" s="83"/>
      <c r="I78" s="83"/>
      <c r="J78" s="83"/>
      <c r="K78" s="83"/>
      <c r="L78" s="83"/>
      <c r="M78" s="83"/>
      <c r="AW78" s="83"/>
      <c r="AX78" s="83"/>
      <c r="AY78" s="83"/>
      <c r="AZ78" s="83"/>
      <c r="BA78" s="83"/>
      <c r="BB78" s="83"/>
      <c r="BC78" s="83"/>
      <c r="BD78" s="83"/>
      <c r="BE78" s="83"/>
    </row>
    <row r="79" spans="1:57" s="2" customFormat="1" x14ac:dyDescent="0.3">
      <c r="A79" s="13"/>
      <c r="B79" s="13"/>
      <c r="C79" s="13"/>
      <c r="G79" s="83"/>
      <c r="H79" s="83"/>
      <c r="I79" s="83"/>
      <c r="J79" s="83"/>
      <c r="K79" s="83"/>
      <c r="L79" s="83"/>
      <c r="M79" s="83"/>
      <c r="AW79" s="83"/>
      <c r="AX79" s="83"/>
      <c r="AY79" s="83"/>
      <c r="AZ79" s="83"/>
      <c r="BA79" s="83"/>
      <c r="BB79" s="83"/>
      <c r="BC79" s="83"/>
      <c r="BD79" s="83"/>
      <c r="BE79" s="83"/>
    </row>
    <row r="80" spans="1:57" x14ac:dyDescent="0.3">
      <c r="F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6:48" x14ac:dyDescent="0.3">
      <c r="F81" s="2"/>
      <c r="J81" s="84"/>
      <c r="K81" s="84"/>
      <c r="L81" s="84"/>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6:48" x14ac:dyDescent="0.3">
      <c r="F82" s="2"/>
      <c r="G82" s="84"/>
      <c r="H82" s="84"/>
      <c r="I82" s="84"/>
      <c r="J82" s="84"/>
      <c r="K82" s="84"/>
      <c r="L82" s="84"/>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6:48" x14ac:dyDescent="0.3">
      <c r="F83" s="2"/>
      <c r="G83" s="84"/>
      <c r="H83" s="84"/>
      <c r="I83" s="84"/>
      <c r="J83" s="84"/>
      <c r="K83" s="84"/>
      <c r="L83" s="84"/>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6:48" x14ac:dyDescent="0.3">
      <c r="F84" s="2"/>
      <c r="G84" s="84"/>
      <c r="H84" s="84"/>
      <c r="I84" s="84"/>
      <c r="J84" s="84"/>
      <c r="K84" s="84"/>
      <c r="L84" s="84"/>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6:48" x14ac:dyDescent="0.3">
      <c r="F85" s="2"/>
      <c r="G85" s="84"/>
      <c r="H85" s="84"/>
      <c r="I85" s="84"/>
      <c r="J85" s="84"/>
      <c r="K85" s="84"/>
      <c r="L85" s="84"/>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6:48" x14ac:dyDescent="0.3">
      <c r="F86" s="102"/>
      <c r="G86" s="84"/>
      <c r="H86" s="84"/>
      <c r="I86" s="84"/>
      <c r="J86" s="84"/>
      <c r="K86" s="84"/>
      <c r="L86" s="84"/>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6:48" x14ac:dyDescent="0.3">
      <c r="F87" s="102"/>
      <c r="G87" s="84"/>
      <c r="H87" s="84"/>
      <c r="I87" s="84"/>
      <c r="J87" s="84"/>
      <c r="K87" s="84"/>
      <c r="L87" s="84"/>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6:48" x14ac:dyDescent="0.3">
      <c r="F88" s="102"/>
      <c r="G88" s="84"/>
      <c r="H88" s="84"/>
      <c r="I88" s="84"/>
      <c r="J88" s="84"/>
      <c r="K88" s="84"/>
      <c r="L88" s="84"/>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6:48" x14ac:dyDescent="0.3">
      <c r="F89" s="102"/>
      <c r="G89" s="84"/>
      <c r="H89" s="84"/>
      <c r="I89" s="84"/>
      <c r="J89" s="84"/>
      <c r="K89" s="84"/>
      <c r="L89" s="84"/>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6:48" x14ac:dyDescent="0.3">
      <c r="F90" s="103"/>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6:48" x14ac:dyDescent="0.3">
      <c r="F91" s="103"/>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6:48" x14ac:dyDescent="0.3">
      <c r="F92" s="103"/>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6:48" x14ac:dyDescent="0.3">
      <c r="F93" s="103"/>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6:48" ht="16.5" customHeight="1" x14ac:dyDescent="0.3">
      <c r="F94" s="491"/>
      <c r="G94" s="491"/>
      <c r="H94" s="491"/>
      <c r="I94" s="491"/>
      <c r="J94" s="491"/>
      <c r="K94" s="491"/>
      <c r="L94" s="93"/>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6:48" x14ac:dyDescent="0.3">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6:48" ht="16.5" customHeight="1" x14ac:dyDescent="0.3">
      <c r="F96" s="492"/>
      <c r="G96" s="492"/>
      <c r="H96" s="492"/>
      <c r="I96" s="492"/>
      <c r="K96" s="94"/>
      <c r="L96" s="94"/>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6:48" x14ac:dyDescent="0.3">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6:48" x14ac:dyDescent="0.3">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6:48" x14ac:dyDescent="0.3">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6:48" x14ac:dyDescent="0.3">
      <c r="F100" s="84"/>
      <c r="G100" s="84"/>
      <c r="H100" s="84"/>
      <c r="I100" s="84"/>
      <c r="J100" s="84"/>
      <c r="K100" s="84"/>
      <c r="L100" s="84"/>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6:48" x14ac:dyDescent="0.3">
      <c r="F101" s="84"/>
      <c r="G101" s="84"/>
      <c r="H101" s="84"/>
      <c r="I101" s="84"/>
      <c r="J101" s="84"/>
      <c r="K101" s="84"/>
      <c r="L101" s="84"/>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6:48" x14ac:dyDescent="0.3">
      <c r="F102" s="84"/>
      <c r="G102" s="84"/>
      <c r="H102" s="84"/>
      <c r="I102" s="84"/>
      <c r="J102" s="84"/>
      <c r="K102" s="84"/>
      <c r="L102" s="84"/>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6:48" x14ac:dyDescent="0.3">
      <c r="F103" s="84"/>
      <c r="G103" s="84"/>
      <c r="H103" s="84"/>
      <c r="I103" s="84"/>
      <c r="J103" s="84"/>
      <c r="K103" s="84"/>
      <c r="L103" s="84"/>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6:48" x14ac:dyDescent="0.3">
      <c r="F104" s="84"/>
      <c r="G104" s="84"/>
      <c r="H104" s="84"/>
      <c r="I104" s="84"/>
      <c r="J104" s="84"/>
      <c r="K104" s="84"/>
      <c r="L104" s="84"/>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6:48" x14ac:dyDescent="0.3">
      <c r="F105" s="84"/>
      <c r="G105" s="84"/>
      <c r="H105" s="84"/>
      <c r="I105" s="84"/>
      <c r="J105" s="84"/>
      <c r="K105" s="84"/>
      <c r="L105" s="84"/>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6:48" x14ac:dyDescent="0.3">
      <c r="F106" s="84"/>
      <c r="G106" s="84"/>
      <c r="H106" s="84"/>
      <c r="I106" s="84"/>
      <c r="J106" s="84"/>
      <c r="K106" s="84"/>
      <c r="L106" s="84"/>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6:48" x14ac:dyDescent="0.3">
      <c r="F107" s="84"/>
      <c r="G107" s="84"/>
      <c r="H107" s="84"/>
      <c r="I107" s="84"/>
      <c r="J107" s="84"/>
      <c r="K107" s="84"/>
      <c r="L107" s="84"/>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6:48" x14ac:dyDescent="0.3">
      <c r="F108" s="84"/>
      <c r="G108" s="84"/>
      <c r="H108" s="84"/>
      <c r="I108" s="84"/>
      <c r="J108" s="84"/>
      <c r="K108" s="84"/>
      <c r="L108" s="84"/>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6:48" x14ac:dyDescent="0.3">
      <c r="F109" s="84"/>
      <c r="G109" s="84"/>
      <c r="H109" s="84"/>
      <c r="I109" s="84"/>
      <c r="J109" s="84"/>
      <c r="K109" s="84"/>
      <c r="L109" s="84"/>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6:48" x14ac:dyDescent="0.3">
      <c r="F110" s="84"/>
      <c r="G110" s="84"/>
      <c r="H110" s="84"/>
      <c r="I110" s="84"/>
      <c r="J110" s="84"/>
      <c r="K110" s="84"/>
      <c r="L110" s="84"/>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6:48" x14ac:dyDescent="0.3">
      <c r="F111" s="84"/>
      <c r="G111" s="84"/>
      <c r="H111" s="84"/>
      <c r="I111" s="84"/>
      <c r="J111" s="84"/>
      <c r="K111" s="84"/>
      <c r="L111" s="84"/>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6:48" x14ac:dyDescent="0.3">
      <c r="F112" s="84"/>
      <c r="G112" s="84"/>
      <c r="H112" s="84"/>
      <c r="I112" s="84"/>
      <c r="J112" s="84"/>
      <c r="K112" s="84"/>
      <c r="L112" s="84"/>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6:48" x14ac:dyDescent="0.3">
      <c r="F113" s="84"/>
      <c r="G113" s="84"/>
      <c r="H113" s="84"/>
      <c r="I113" s="84"/>
      <c r="J113" s="84"/>
      <c r="K113" s="84"/>
      <c r="L113" s="84"/>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6:48" x14ac:dyDescent="0.3">
      <c r="F114" s="84"/>
      <c r="G114" s="84"/>
      <c r="H114" s="84"/>
      <c r="I114" s="84"/>
      <c r="J114" s="84"/>
      <c r="K114" s="84"/>
      <c r="L114" s="84"/>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6:48" x14ac:dyDescent="0.3">
      <c r="F115" s="84"/>
      <c r="G115" s="84"/>
      <c r="H115" s="84"/>
      <c r="I115" s="84"/>
      <c r="J115" s="84"/>
      <c r="K115" s="84"/>
      <c r="L115" s="84"/>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6:48" x14ac:dyDescent="0.3">
      <c r="F116" s="84"/>
      <c r="G116" s="84"/>
      <c r="H116" s="84"/>
      <c r="I116" s="84"/>
      <c r="J116" s="84"/>
      <c r="K116" s="84"/>
      <c r="L116" s="84"/>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6:48" x14ac:dyDescent="0.3">
      <c r="F117" s="84"/>
      <c r="G117" s="84"/>
      <c r="H117" s="84"/>
      <c r="I117" s="84"/>
      <c r="J117" s="84"/>
      <c r="K117" s="84"/>
      <c r="L117" s="84"/>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6:48" x14ac:dyDescent="0.3">
      <c r="F118" s="84"/>
      <c r="G118" s="84"/>
      <c r="H118" s="84"/>
      <c r="I118" s="84"/>
      <c r="J118" s="84"/>
      <c r="K118" s="84"/>
      <c r="L118" s="84"/>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6:48" x14ac:dyDescent="0.3">
      <c r="F119" s="84"/>
      <c r="G119" s="84"/>
      <c r="H119" s="84"/>
      <c r="I119" s="84"/>
      <c r="J119" s="84"/>
      <c r="K119" s="84"/>
      <c r="L119" s="84"/>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6:48" x14ac:dyDescent="0.3">
      <c r="F120" s="84"/>
      <c r="G120" s="84"/>
      <c r="H120" s="84"/>
      <c r="I120" s="84"/>
      <c r="J120" s="84"/>
      <c r="K120" s="84"/>
      <c r="L120" s="84"/>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6:48" x14ac:dyDescent="0.3">
      <c r="F121" s="84"/>
      <c r="G121" s="84"/>
      <c r="H121" s="84"/>
      <c r="I121" s="84"/>
      <c r="J121" s="84"/>
      <c r="K121" s="84"/>
      <c r="L121" s="84"/>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6:48" x14ac:dyDescent="0.3">
      <c r="F122" s="84"/>
      <c r="G122" s="84"/>
      <c r="H122" s="84"/>
      <c r="I122" s="84"/>
      <c r="J122" s="84"/>
      <c r="K122" s="84"/>
      <c r="L122" s="84"/>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6:48" x14ac:dyDescent="0.3">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6:48" x14ac:dyDescent="0.3">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6:48" x14ac:dyDescent="0.3">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6:48" x14ac:dyDescent="0.3">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6:48" x14ac:dyDescent="0.3">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6:48" x14ac:dyDescent="0.3">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5:142" x14ac:dyDescent="0.3">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5:142" x14ac:dyDescent="0.3">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5:142" x14ac:dyDescent="0.3">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5:142" x14ac:dyDescent="0.3">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5:142" x14ac:dyDescent="0.3">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5:142" x14ac:dyDescent="0.3">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DW134" s="2"/>
      <c r="DX134" s="2"/>
      <c r="DY134" s="2"/>
      <c r="DZ134" s="2"/>
      <c r="EA134" s="2"/>
      <c r="EB134" s="2"/>
      <c r="EC134" s="2"/>
      <c r="ED134" s="2"/>
      <c r="EE134" s="2"/>
      <c r="EF134" s="2"/>
      <c r="EG134" s="2"/>
      <c r="EH134" s="2"/>
      <c r="EI134" s="2"/>
      <c r="EJ134" s="2"/>
      <c r="EK134" s="2"/>
      <c r="EL134" s="2"/>
    </row>
    <row r="135" spans="15:142" x14ac:dyDescent="0.3">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5:142" x14ac:dyDescent="0.3">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5:142" x14ac:dyDescent="0.3">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5:142" x14ac:dyDescent="0.3">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5:142" x14ac:dyDescent="0.3">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5:142" x14ac:dyDescent="0.3">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5:142" x14ac:dyDescent="0.3">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5:142" x14ac:dyDescent="0.3">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5:142" x14ac:dyDescent="0.3">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5:142" x14ac:dyDescent="0.3">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5:142" x14ac:dyDescent="0.3">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DW145" s="84"/>
      <c r="DX145" s="84"/>
      <c r="DY145" s="84"/>
      <c r="DZ145" s="84"/>
      <c r="EA145" s="84"/>
      <c r="EB145" s="84"/>
      <c r="EC145" s="84"/>
      <c r="ED145" s="84"/>
      <c r="EE145" s="84"/>
      <c r="EF145" s="84"/>
      <c r="EG145" s="84"/>
      <c r="EH145" s="84"/>
      <c r="EI145" s="84"/>
      <c r="EJ145" s="84"/>
      <c r="EK145" s="84"/>
      <c r="EL145" s="84"/>
    </row>
    <row r="146" spans="15:142" x14ac:dyDescent="0.3">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DW146" s="84"/>
      <c r="DX146" s="84"/>
      <c r="DY146" s="84"/>
      <c r="DZ146" s="84"/>
      <c r="EA146" s="84"/>
      <c r="EB146" s="84"/>
      <c r="EC146" s="84"/>
      <c r="ED146" s="84"/>
      <c r="EE146" s="84"/>
      <c r="EF146" s="84"/>
      <c r="EG146" s="84"/>
      <c r="EH146" s="84"/>
      <c r="EI146" s="84"/>
      <c r="EJ146" s="84"/>
      <c r="EK146" s="84"/>
      <c r="EL146" s="84"/>
    </row>
    <row r="147" spans="15:142" x14ac:dyDescent="0.3">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DW147" s="84"/>
      <c r="DX147" s="84"/>
      <c r="DY147" s="84"/>
      <c r="DZ147" s="84"/>
      <c r="EA147" s="84"/>
      <c r="EB147" s="84"/>
      <c r="EC147" s="84"/>
      <c r="ED147" s="84"/>
      <c r="EE147" s="84"/>
      <c r="EF147" s="84"/>
      <c r="EG147" s="84"/>
      <c r="EH147" s="84"/>
      <c r="EI147" s="84"/>
      <c r="EJ147" s="84"/>
      <c r="EK147" s="84"/>
      <c r="EL147" s="84"/>
    </row>
    <row r="148" spans="15:142" x14ac:dyDescent="0.3">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DW148" s="84"/>
      <c r="DX148" s="84"/>
      <c r="DY148" s="84"/>
      <c r="DZ148" s="84"/>
      <c r="EA148" s="84"/>
      <c r="EB148" s="84"/>
      <c r="EC148" s="84"/>
      <c r="ED148" s="84"/>
      <c r="EE148" s="84"/>
      <c r="EF148" s="84"/>
      <c r="EG148" s="84"/>
      <c r="EH148" s="84"/>
      <c r="EI148" s="84"/>
      <c r="EJ148" s="84"/>
      <c r="EK148" s="84"/>
      <c r="EL148" s="84"/>
    </row>
    <row r="149" spans="15:142" x14ac:dyDescent="0.3">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DW149" s="84"/>
      <c r="DX149" s="84"/>
      <c r="DY149" s="84"/>
      <c r="DZ149" s="84"/>
      <c r="EA149" s="84"/>
      <c r="EB149" s="84"/>
      <c r="EC149" s="84"/>
      <c r="ED149" s="84"/>
      <c r="EE149" s="84"/>
      <c r="EF149" s="84"/>
      <c r="EG149" s="84"/>
      <c r="EH149" s="84"/>
      <c r="EI149" s="84"/>
      <c r="EJ149" s="84"/>
      <c r="EK149" s="84"/>
      <c r="EL149" s="84"/>
    </row>
    <row r="150" spans="15:142" x14ac:dyDescent="0.3">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DW150" s="84"/>
      <c r="DX150" s="84"/>
      <c r="DY150" s="84"/>
      <c r="DZ150" s="84"/>
      <c r="EA150" s="84"/>
      <c r="EB150" s="84"/>
      <c r="EC150" s="84"/>
      <c r="ED150" s="84"/>
      <c r="EE150" s="84"/>
      <c r="EF150" s="84"/>
      <c r="EG150" s="84"/>
      <c r="EH150" s="84"/>
      <c r="EI150" s="84"/>
      <c r="EJ150" s="84"/>
      <c r="EK150" s="84"/>
      <c r="EL150" s="84"/>
    </row>
    <row r="151" spans="15:142" x14ac:dyDescent="0.3">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5:142" x14ac:dyDescent="0.3">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5:142" x14ac:dyDescent="0.3">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5:142" x14ac:dyDescent="0.3">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5:142" x14ac:dyDescent="0.3">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5:142" x14ac:dyDescent="0.3">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5:142" x14ac:dyDescent="0.3">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5:142" x14ac:dyDescent="0.3">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5:142" x14ac:dyDescent="0.3">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5:142" x14ac:dyDescent="0.3">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5:48" x14ac:dyDescent="0.3">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5:48" x14ac:dyDescent="0.3">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5:48" x14ac:dyDescent="0.3">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5:48" x14ac:dyDescent="0.3">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5:48" x14ac:dyDescent="0.3">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5:48" x14ac:dyDescent="0.3">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5:48" x14ac:dyDescent="0.3">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5:48" x14ac:dyDescent="0.3">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5:48" x14ac:dyDescent="0.3">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5:48" x14ac:dyDescent="0.3">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5:48" x14ac:dyDescent="0.3">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5:48" x14ac:dyDescent="0.3">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5:48" x14ac:dyDescent="0.3">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5:48" x14ac:dyDescent="0.3">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5:48" x14ac:dyDescent="0.3">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5:48" x14ac:dyDescent="0.3">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5:48" x14ac:dyDescent="0.3">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5:48" x14ac:dyDescent="0.3">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5:48" x14ac:dyDescent="0.3">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5:48" x14ac:dyDescent="0.3">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5:48" x14ac:dyDescent="0.3">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5:48" x14ac:dyDescent="0.3">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5:48" x14ac:dyDescent="0.3">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5:48" x14ac:dyDescent="0.3">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5:48" x14ac:dyDescent="0.3">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5:48" x14ac:dyDescent="0.3">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5:48" x14ac:dyDescent="0.3">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5:48" x14ac:dyDescent="0.3">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5:48" x14ac:dyDescent="0.3">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5:48" x14ac:dyDescent="0.3">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5:48" x14ac:dyDescent="0.3">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5:48" x14ac:dyDescent="0.3">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5:48" x14ac:dyDescent="0.3">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5:48" x14ac:dyDescent="0.3">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5:48" x14ac:dyDescent="0.3">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5:48" x14ac:dyDescent="0.3">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5:48" x14ac:dyDescent="0.3">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5:48" x14ac:dyDescent="0.3">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5:48" x14ac:dyDescent="0.3">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5:48" x14ac:dyDescent="0.3">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5:48" x14ac:dyDescent="0.3">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5:48" x14ac:dyDescent="0.3">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5:48" x14ac:dyDescent="0.3">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5:48" x14ac:dyDescent="0.3">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5:48" x14ac:dyDescent="0.3">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5:48" x14ac:dyDescent="0.3">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5:48" x14ac:dyDescent="0.3">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5:48" x14ac:dyDescent="0.3">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5:48" x14ac:dyDescent="0.3">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5:48" x14ac:dyDescent="0.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5:48" x14ac:dyDescent="0.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5:48" x14ac:dyDescent="0.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5:48" x14ac:dyDescent="0.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5:48" x14ac:dyDescent="0.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5:48" x14ac:dyDescent="0.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5:48" x14ac:dyDescent="0.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5:48" x14ac:dyDescent="0.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5:48" x14ac:dyDescent="0.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5:48" x14ac:dyDescent="0.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5:48" x14ac:dyDescent="0.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5:48" x14ac:dyDescent="0.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5:48" x14ac:dyDescent="0.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5:48" x14ac:dyDescent="0.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5:48" x14ac:dyDescent="0.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5:48" x14ac:dyDescent="0.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5:48" x14ac:dyDescent="0.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5:48" x14ac:dyDescent="0.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5:48" x14ac:dyDescent="0.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5:48" x14ac:dyDescent="0.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5:48" x14ac:dyDescent="0.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5:48" x14ac:dyDescent="0.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5:48" x14ac:dyDescent="0.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5:48" x14ac:dyDescent="0.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5:48" x14ac:dyDescent="0.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5:48" x14ac:dyDescent="0.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5:48" x14ac:dyDescent="0.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5:48" x14ac:dyDescent="0.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5:48" x14ac:dyDescent="0.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5:48" x14ac:dyDescent="0.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5:48" x14ac:dyDescent="0.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5:48" x14ac:dyDescent="0.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5:48" x14ac:dyDescent="0.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5:48" x14ac:dyDescent="0.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5:48" x14ac:dyDescent="0.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5:48" x14ac:dyDescent="0.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5:48" x14ac:dyDescent="0.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5:48" x14ac:dyDescent="0.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5:48" x14ac:dyDescent="0.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5:48" x14ac:dyDescent="0.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5:48" x14ac:dyDescent="0.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5:48" x14ac:dyDescent="0.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5:48" x14ac:dyDescent="0.3">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93" spans="6:10" x14ac:dyDescent="0.3">
      <c r="F293" s="95"/>
      <c r="G293" s="95"/>
      <c r="H293" s="95"/>
      <c r="I293" s="95"/>
      <c r="J293" s="95"/>
    </row>
    <row r="294" spans="6:10" x14ac:dyDescent="0.3">
      <c r="F294" s="95"/>
      <c r="G294" s="95"/>
      <c r="H294" s="95"/>
      <c r="I294" s="95"/>
      <c r="J294" s="95"/>
    </row>
  </sheetData>
  <sheetProtection sheet="1" objects="1" scenarios="1"/>
  <mergeCells count="27">
    <mergeCell ref="C1:M1"/>
    <mergeCell ref="D3:L4"/>
    <mergeCell ref="D5:K5"/>
    <mergeCell ref="D7:K8"/>
    <mergeCell ref="D9:K14"/>
    <mergeCell ref="D15:L15"/>
    <mergeCell ref="E16:K16"/>
    <mergeCell ref="E17:E18"/>
    <mergeCell ref="F17:F18"/>
    <mergeCell ref="G17:G18"/>
    <mergeCell ref="H17:H18"/>
    <mergeCell ref="I17:I18"/>
    <mergeCell ref="J17:J18"/>
    <mergeCell ref="K17:K18"/>
    <mergeCell ref="F94:K94"/>
    <mergeCell ref="F96:I96"/>
    <mergeCell ref="D43:K43"/>
    <mergeCell ref="D44:K44"/>
    <mergeCell ref="E45:K45"/>
    <mergeCell ref="E46:K46"/>
    <mergeCell ref="E47:E48"/>
    <mergeCell ref="F47:F48"/>
    <mergeCell ref="G47:G48"/>
    <mergeCell ref="H47:H48"/>
    <mergeCell ref="I47:I48"/>
    <mergeCell ref="J47:J48"/>
    <mergeCell ref="K47:K48"/>
  </mergeCells>
  <conditionalFormatting sqref="J69:J70">
    <cfRule type="expression" dxfId="34" priority="3">
      <formula>ISNUMBER(J69)</formula>
    </cfRule>
  </conditionalFormatting>
  <dataValidations count="2">
    <dataValidation operator="equal" allowBlank="1" showInputMessage="1" showErrorMessage="1" sqref="E49:E68">
      <formula1>0</formula1>
      <formula2>0</formula2>
    </dataValidation>
    <dataValidation type="decimal" operator="greaterThan" allowBlank="1" showInputMessage="1" showErrorMessage="1" sqref="H20:H41 H49:H68">
      <formula1>0</formula1>
    </dataValidation>
  </dataValidations>
  <hyperlinks>
    <hyperlink ref="A3" location="'0_Datos generales organización'!A1" display="0. Datos de la organización"/>
    <hyperlink ref="A4" location="'1_Combustibles fósiles'!A1" display="1. HC Alcance 1: Comb. fósiles"/>
    <hyperlink ref="A5" location="'2_Fluorados'!A1" display="2. HC Alcance 1: Fugas fluorados"/>
    <hyperlink ref="A6" location="'3_Emisiones proceso'!A1" display="3. HC Alcance 1: Emisiones proceso"/>
    <hyperlink ref="A7" location="'4.1_Electricidad Illes Balears'!A1" display="4.1 HC 2: Electricidad I. Balears"/>
    <hyperlink ref="A9" location="'5_Información adicional'!A1" display="5. Inf. adicional: renovables"/>
    <hyperlink ref="A11" location="'6.1_Resultados Illes Balears'!A1" display="6.1 Informe final: Resultados I. Balears"/>
    <hyperlink ref="A12" location="'6.2_Resultados España'!A1" display="6.2 Informe final: Resultados España"/>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4">
        <x14:dataValidation type="list" operator="equal" allowBlank="1" showInputMessage="1" showErrorMessage="1">
          <x14:formula1>
            <xm:f>INDIRECT("_Com"&amp;Dades!$F$2)</xm:f>
          </x14:formula1>
          <x14:formula2>
            <xm:f>0</xm:f>
          </x14:formula2>
          <xm:sqref>F20:F41 F49:F68</xm:sqref>
        </x14:dataValidation>
        <x14:dataValidation type="list" allowBlank="1" showInputMessage="1" showErrorMessage="1">
          <x14:formula1>
            <xm:f>'0_Datos generales organización'!$H$52:$H$302</xm:f>
          </x14:formula1>
          <xm:sqref>E20:E41</xm:sqref>
        </x14:dataValidation>
        <x14:dataValidation type="list" operator="equal" allowBlank="1" showInputMessage="1" showErrorMessage="1">
          <x14:formula1>
            <xm:f>INDIRECT("GdO_"&amp;Dades!$G223)</xm:f>
          </x14:formula1>
          <x14:formula2>
            <xm:f>0</xm:f>
          </x14:formula2>
          <xm:sqref>G20:G41</xm:sqref>
        </x14:dataValidation>
        <x14:dataValidation type="list" operator="equal" allowBlank="1" showInputMessage="1" showErrorMessage="1">
          <x14:formula1>
            <xm:f>INDIRECT("GdO_"&amp;Dades!G484)</xm:f>
          </x14:formula1>
          <x14:formula2>
            <xm:f>0</xm:f>
          </x14:formula2>
          <xm:sqref>G49:G68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AML145"/>
  <sheetViews>
    <sheetView showRowColHeaders="0" zoomScaleNormal="100" workbookViewId="0">
      <pane xSplit="1" topLeftCell="B1" activePane="topRight" state="frozen"/>
      <selection pane="topRight" activeCell="C1" sqref="C1:M1"/>
    </sheetView>
  </sheetViews>
  <sheetFormatPr baseColWidth="10" defaultColWidth="9.140625" defaultRowHeight="16.5" x14ac:dyDescent="0.3"/>
  <cols>
    <col min="1" max="1" width="31.7109375" style="13" customWidth="1"/>
    <col min="2" max="2" width="1.85546875" style="13" customWidth="1"/>
    <col min="3" max="3" width="1.5703125" style="2" customWidth="1"/>
    <col min="4" max="4" width="5.7109375" style="2" customWidth="1"/>
    <col min="5" max="5" width="24.7109375" style="2" customWidth="1"/>
    <col min="6" max="6" width="21.42578125" style="104" customWidth="1"/>
    <col min="7" max="7" width="17.5703125" style="2" customWidth="1"/>
    <col min="8" max="9" width="17.85546875" style="2" customWidth="1"/>
    <col min="10" max="10" width="18.7109375" style="2" customWidth="1"/>
    <col min="11" max="11" width="15.7109375" style="2" customWidth="1"/>
    <col min="12" max="12" width="14.7109375" style="2" customWidth="1"/>
    <col min="13" max="13" width="3" style="2" customWidth="1"/>
    <col min="14" max="1026" width="11.42578125" style="2"/>
  </cols>
  <sheetData>
    <row r="1" spans="1:20" s="26" customFormat="1" ht="39.950000000000003" customHeight="1" x14ac:dyDescent="0.25">
      <c r="A1" s="13"/>
      <c r="B1" s="14"/>
      <c r="C1" s="439" t="s">
        <v>137</v>
      </c>
      <c r="D1" s="439"/>
      <c r="E1" s="439"/>
      <c r="F1" s="439"/>
      <c r="G1" s="439"/>
      <c r="H1" s="439"/>
      <c r="I1" s="439"/>
      <c r="J1" s="439"/>
      <c r="K1" s="439"/>
      <c r="L1" s="439"/>
      <c r="M1" s="439"/>
      <c r="N1" s="27"/>
      <c r="O1" s="27"/>
      <c r="P1" s="27"/>
      <c r="Q1" s="27"/>
      <c r="R1" s="27"/>
      <c r="S1" s="27"/>
      <c r="T1" s="27"/>
    </row>
    <row r="2" spans="1:20" s="26" customFormat="1" ht="39.950000000000003" customHeight="1" x14ac:dyDescent="0.25">
      <c r="A2" s="13"/>
      <c r="B2" s="14"/>
      <c r="E2" s="27"/>
      <c r="G2" s="27"/>
      <c r="H2" s="27"/>
      <c r="I2" s="27"/>
      <c r="J2" s="27"/>
      <c r="K2" s="27"/>
      <c r="L2" s="27"/>
      <c r="M2" s="27"/>
      <c r="N2" s="27"/>
      <c r="O2" s="27"/>
      <c r="P2" s="27"/>
      <c r="Q2" s="27"/>
      <c r="R2" s="27"/>
      <c r="S2" s="27"/>
      <c r="T2" s="27"/>
    </row>
    <row r="3" spans="1:20" s="26" customFormat="1" ht="16.5" customHeight="1" x14ac:dyDescent="0.2">
      <c r="A3" s="18" t="s">
        <v>17</v>
      </c>
      <c r="B3" s="16"/>
      <c r="D3" s="495" t="s">
        <v>138</v>
      </c>
      <c r="E3" s="495"/>
      <c r="F3" s="495"/>
      <c r="G3" s="495"/>
      <c r="H3" s="495"/>
      <c r="I3" s="495"/>
      <c r="J3" s="495"/>
      <c r="K3" s="495"/>
      <c r="L3" s="495"/>
      <c r="M3" s="27"/>
      <c r="N3" s="27"/>
      <c r="O3" s="27"/>
      <c r="P3" s="27"/>
      <c r="Q3" s="27"/>
      <c r="R3" s="27"/>
      <c r="S3" s="27"/>
      <c r="T3" s="27"/>
    </row>
    <row r="4" spans="1:20" s="26" customFormat="1" ht="16.5" customHeight="1" x14ac:dyDescent="0.2">
      <c r="A4" s="18" t="s">
        <v>19</v>
      </c>
      <c r="B4" s="16"/>
      <c r="D4" s="495"/>
      <c r="E4" s="495"/>
      <c r="F4" s="495"/>
      <c r="G4" s="495"/>
      <c r="H4" s="495"/>
      <c r="I4" s="495"/>
      <c r="J4" s="495"/>
      <c r="K4" s="495"/>
      <c r="L4" s="495"/>
      <c r="M4" s="27"/>
      <c r="N4" s="27"/>
      <c r="O4" s="27"/>
      <c r="P4" s="27"/>
      <c r="Q4" s="27"/>
      <c r="R4" s="27"/>
      <c r="S4" s="27"/>
      <c r="T4" s="27"/>
    </row>
    <row r="5" spans="1:20" s="26" customFormat="1" ht="16.5" customHeight="1" x14ac:dyDescent="0.2">
      <c r="A5" s="18" t="s">
        <v>20</v>
      </c>
      <c r="B5" s="16"/>
      <c r="D5" s="71"/>
      <c r="E5" s="71"/>
      <c r="M5" s="27"/>
      <c r="N5" s="27"/>
      <c r="O5" s="27"/>
      <c r="P5" s="27"/>
      <c r="Q5" s="27"/>
      <c r="R5" s="27"/>
      <c r="S5" s="27"/>
      <c r="T5" s="27"/>
    </row>
    <row r="6" spans="1:20" ht="16.5" customHeight="1" x14ac:dyDescent="0.3">
      <c r="A6" s="18" t="s">
        <v>24</v>
      </c>
      <c r="B6" s="16"/>
      <c r="D6" s="27"/>
      <c r="E6" s="500" t="s">
        <v>139</v>
      </c>
      <c r="F6" s="501"/>
      <c r="G6" s="501"/>
      <c r="H6" s="501"/>
      <c r="I6" s="501"/>
      <c r="J6" s="502"/>
      <c r="K6" s="499" t="s">
        <v>140</v>
      </c>
    </row>
    <row r="7" spans="1:20" ht="16.5" customHeight="1" x14ac:dyDescent="0.3">
      <c r="A7" s="18" t="s">
        <v>26</v>
      </c>
      <c r="B7" s="16"/>
      <c r="D7" s="27"/>
      <c r="E7" s="480" t="s">
        <v>65</v>
      </c>
      <c r="F7" s="457" t="s">
        <v>66</v>
      </c>
      <c r="G7" s="457" t="s">
        <v>141</v>
      </c>
      <c r="H7" s="457" t="s">
        <v>1017</v>
      </c>
      <c r="I7" s="457" t="s">
        <v>1018</v>
      </c>
      <c r="J7" s="457" t="s">
        <v>947</v>
      </c>
      <c r="K7" s="499"/>
    </row>
    <row r="8" spans="1:20" ht="16.5" customHeight="1" x14ac:dyDescent="0.3">
      <c r="A8" s="18" t="s">
        <v>27</v>
      </c>
      <c r="D8" s="27"/>
      <c r="E8" s="480"/>
      <c r="F8" s="458"/>
      <c r="G8" s="458"/>
      <c r="H8" s="458"/>
      <c r="I8" s="458"/>
      <c r="J8" s="458"/>
      <c r="K8" s="499"/>
    </row>
    <row r="9" spans="1:20" ht="16.5" customHeight="1" x14ac:dyDescent="0.3">
      <c r="A9" s="15" t="s">
        <v>29</v>
      </c>
      <c r="D9" s="27"/>
      <c r="E9" s="480"/>
      <c r="F9" s="459"/>
      <c r="G9" s="459"/>
      <c r="H9" s="459"/>
      <c r="I9" s="459"/>
      <c r="J9" s="459"/>
      <c r="K9" s="499"/>
    </row>
    <row r="10" spans="1:20" ht="16.5" customHeight="1" x14ac:dyDescent="0.3">
      <c r="A10" s="18" t="s">
        <v>31</v>
      </c>
      <c r="D10" s="27"/>
      <c r="E10" s="410"/>
      <c r="F10" s="394" t="str">
        <f>IF(E10="","",IF(VLOOKUP(E10,'0_Datos generales organización'!$H$53:$L$300,3,FALSE)="","",VLOOKUP(E10,'0_Datos generales organización'!$H$53:$L$300,3,FALSE)))</f>
        <v/>
      </c>
      <c r="G10" s="411"/>
      <c r="H10" s="57" t="str">
        <f>IF(I10="","",IF(OR(F10="Sí",F10=""),I10,""))</f>
        <v/>
      </c>
      <c r="I10" s="428"/>
      <c r="J10" s="105">
        <f>SUM(H10:H14)</f>
        <v>0</v>
      </c>
      <c r="K10" s="106">
        <v>0</v>
      </c>
    </row>
    <row r="11" spans="1:20" ht="16.5" customHeight="1" x14ac:dyDescent="0.3">
      <c r="A11" s="18" t="s">
        <v>32</v>
      </c>
      <c r="D11" s="27"/>
      <c r="E11" s="410"/>
      <c r="F11" s="394" t="str">
        <f>IF(E11="","",IF(VLOOKUP(E11,'0_Datos generales organización'!$H$53:$L$300,3,FALSE)="","",VLOOKUP(E11,'0_Datos generales organización'!$H$53:$L$300,3,FALSE)))</f>
        <v/>
      </c>
      <c r="G11" s="411"/>
      <c r="H11" s="57" t="str">
        <f t="shared" ref="H11:H14" si="0">IF(I11="","",IF(OR(F11="Sí",F11=""),I11,""))</f>
        <v/>
      </c>
      <c r="I11" s="428"/>
      <c r="J11" s="457" t="s">
        <v>142</v>
      </c>
      <c r="K11" s="26"/>
    </row>
    <row r="12" spans="1:20" ht="17.25" customHeight="1" x14ac:dyDescent="0.3">
      <c r="A12" s="17"/>
      <c r="D12" s="27"/>
      <c r="E12" s="410"/>
      <c r="F12" s="394" t="str">
        <f>IF(E12="","",IF(VLOOKUP(E12,'0_Datos generales organización'!$H$53:$L$300,3,FALSE)="","",VLOOKUP(E12,'0_Datos generales organización'!$H$53:$L$300,3,FALSE)))</f>
        <v/>
      </c>
      <c r="G12" s="411"/>
      <c r="H12" s="57" t="str">
        <f t="shared" si="0"/>
        <v/>
      </c>
      <c r="I12" s="428"/>
      <c r="J12" s="458"/>
      <c r="K12" s="26"/>
    </row>
    <row r="13" spans="1:20" ht="17.25" customHeight="1" x14ac:dyDescent="0.3">
      <c r="A13" s="17"/>
      <c r="D13" s="27"/>
      <c r="E13" s="410"/>
      <c r="F13" s="394" t="str">
        <f>IF(E13="","",IF(VLOOKUP(E13,'0_Datos generales organización'!$H$53:$L$300,3,FALSE)="","",VLOOKUP(E13,'0_Datos generales organización'!$H$53:$L$300,3,FALSE)))</f>
        <v/>
      </c>
      <c r="G13" s="411"/>
      <c r="H13" s="57" t="str">
        <f t="shared" si="0"/>
        <v/>
      </c>
      <c r="I13" s="428"/>
      <c r="J13" s="459"/>
      <c r="K13" s="26"/>
    </row>
    <row r="14" spans="1:20" ht="17.25" customHeight="1" x14ac:dyDescent="0.3">
      <c r="A14" s="17"/>
      <c r="D14" s="27"/>
      <c r="E14" s="410"/>
      <c r="F14" s="394" t="str">
        <f>IF(E14="","",IF(VLOOKUP(E14,'0_Datos generales organización'!$H$53:$L$300,3,FALSE)="","",VLOOKUP(E14,'0_Datos generales organización'!$H$53:$L$300,3,FALSE)))</f>
        <v/>
      </c>
      <c r="G14" s="411"/>
      <c r="H14" s="57" t="str">
        <f t="shared" si="0"/>
        <v/>
      </c>
      <c r="I14" s="428"/>
      <c r="J14" s="105">
        <f>SUM(I10:I14)</f>
        <v>0</v>
      </c>
      <c r="K14" s="26"/>
    </row>
    <row r="15" spans="1:20" ht="8.25" customHeight="1" x14ac:dyDescent="0.3">
      <c r="A15" s="47"/>
      <c r="D15" s="71"/>
      <c r="E15" s="71"/>
      <c r="F15" s="71"/>
      <c r="G15" s="71"/>
      <c r="H15" s="71"/>
      <c r="I15" s="71"/>
      <c r="K15" s="71"/>
    </row>
    <row r="16" spans="1:20" ht="17.25" customHeight="1" x14ac:dyDescent="0.3">
      <c r="A16" s="47"/>
      <c r="D16" s="107" t="s">
        <v>143</v>
      </c>
      <c r="E16" s="108"/>
      <c r="F16" s="108"/>
      <c r="G16" s="108"/>
      <c r="H16" s="108"/>
      <c r="I16" s="108"/>
      <c r="K16" s="108"/>
    </row>
    <row r="17" spans="1:12" ht="6.75" customHeight="1" x14ac:dyDescent="0.3">
      <c r="A17" s="47"/>
      <c r="D17" s="109"/>
      <c r="E17" s="108"/>
      <c r="F17" s="108"/>
      <c r="G17" s="108"/>
      <c r="H17" s="108"/>
      <c r="I17" s="108"/>
      <c r="K17" s="108"/>
    </row>
    <row r="18" spans="1:12" ht="15" customHeight="1" x14ac:dyDescent="0.3">
      <c r="A18" s="47"/>
      <c r="D18" s="26"/>
      <c r="E18" s="496" t="s">
        <v>144</v>
      </c>
      <c r="F18" s="497"/>
      <c r="G18" s="497"/>
      <c r="H18" s="497"/>
      <c r="I18" s="497"/>
      <c r="J18" s="498"/>
      <c r="K18" s="499" t="s">
        <v>140</v>
      </c>
    </row>
    <row r="19" spans="1:12" s="26" customFormat="1" ht="17.25" customHeight="1" x14ac:dyDescent="0.3">
      <c r="A19" s="47"/>
      <c r="B19" s="13"/>
      <c r="E19" s="480" t="s">
        <v>65</v>
      </c>
      <c r="F19" s="457" t="s">
        <v>66</v>
      </c>
      <c r="G19" s="457" t="s">
        <v>145</v>
      </c>
      <c r="H19" s="457" t="s">
        <v>949</v>
      </c>
      <c r="I19" s="457" t="s">
        <v>146</v>
      </c>
      <c r="J19" s="457" t="s">
        <v>948</v>
      </c>
      <c r="K19" s="499"/>
      <c r="L19" s="2"/>
    </row>
    <row r="20" spans="1:12" s="26" customFormat="1" ht="17.25" customHeight="1" x14ac:dyDescent="0.3">
      <c r="A20" s="47"/>
      <c r="B20" s="13"/>
      <c r="E20" s="480"/>
      <c r="F20" s="459"/>
      <c r="G20" s="459"/>
      <c r="H20" s="459"/>
      <c r="I20" s="459"/>
      <c r="J20" s="459"/>
      <c r="K20" s="499"/>
      <c r="L20" s="2"/>
    </row>
    <row r="21" spans="1:12" s="26" customFormat="1" ht="17.25" customHeight="1" x14ac:dyDescent="0.3">
      <c r="A21" s="47"/>
      <c r="B21" s="13"/>
      <c r="E21" s="410"/>
      <c r="F21" s="394" t="str">
        <f>IF(E21="","",IF(VLOOKUP(E21,'0_Datos generales organización'!$H$53:$L$300,3,FALSE)="","",VLOOKUP(E21,'0_Datos generales organización'!$H$53:$L$300,3,FALSE)))</f>
        <v/>
      </c>
      <c r="G21" s="411"/>
      <c r="H21" s="57" t="str">
        <f>IF(I21="","",IF(OR(F21="Sí",F21=""),I21,""))</f>
        <v/>
      </c>
      <c r="I21" s="428"/>
      <c r="J21" s="105">
        <f>SUM(H21:H26)</f>
        <v>0</v>
      </c>
      <c r="K21" s="106">
        <v>0</v>
      </c>
      <c r="L21" s="2"/>
    </row>
    <row r="22" spans="1:12" s="26" customFormat="1" ht="17.25" customHeight="1" x14ac:dyDescent="0.3">
      <c r="A22" s="47"/>
      <c r="B22" s="13"/>
      <c r="E22" s="410"/>
      <c r="F22" s="394" t="str">
        <f>IF(E22="","",IF(VLOOKUP(E22,'0_Datos generales organización'!$H$53:$L$300,3,FALSE)="","",VLOOKUP(E22,'0_Datos generales organización'!$H$53:$L$300,3,FALSE)))</f>
        <v/>
      </c>
      <c r="G22" s="411"/>
      <c r="H22" s="57" t="str">
        <f t="shared" ref="H22:H26" si="1">IF(I22="","",IF(OR(F22="Sí",F22=""),I22,""))</f>
        <v/>
      </c>
      <c r="I22" s="428"/>
      <c r="J22" s="457" t="s">
        <v>147</v>
      </c>
      <c r="K22" s="2"/>
      <c r="L22" s="2"/>
    </row>
    <row r="23" spans="1:12" s="26" customFormat="1" ht="17.25" customHeight="1" x14ac:dyDescent="0.3">
      <c r="A23" s="111"/>
      <c r="B23" s="13"/>
      <c r="E23" s="410"/>
      <c r="F23" s="394" t="str">
        <f>IF(E23="","",IF(VLOOKUP(E23,'0_Datos generales organización'!$H$53:$L$300,3,FALSE)="","",VLOOKUP(E23,'0_Datos generales organización'!$H$53:$L$300,3,FALSE)))</f>
        <v/>
      </c>
      <c r="G23" s="411"/>
      <c r="H23" s="57" t="str">
        <f t="shared" si="1"/>
        <v/>
      </c>
      <c r="I23" s="428"/>
      <c r="J23" s="459"/>
      <c r="K23" s="2"/>
      <c r="L23" s="2"/>
    </row>
    <row r="24" spans="1:12" s="26" customFormat="1" ht="17.25" customHeight="1" x14ac:dyDescent="0.25">
      <c r="A24" s="17"/>
      <c r="B24" s="13"/>
      <c r="E24" s="410"/>
      <c r="F24" s="394" t="str">
        <f>IF(E24="","",IF(VLOOKUP(E24,'0_Datos generales organización'!$H$53:$L$300,3,FALSE)="","",VLOOKUP(E24,'0_Datos generales organización'!$H$53:$L$300,3,FALSE)))</f>
        <v/>
      </c>
      <c r="G24" s="411"/>
      <c r="H24" s="57" t="str">
        <f t="shared" si="1"/>
        <v/>
      </c>
      <c r="I24" s="428"/>
      <c r="J24" s="105">
        <f>SUM(I21:I26)</f>
        <v>0</v>
      </c>
    </row>
    <row r="25" spans="1:12" s="26" customFormat="1" ht="17.25" customHeight="1" x14ac:dyDescent="0.25">
      <c r="A25" s="17"/>
      <c r="B25" s="13"/>
      <c r="E25" s="410"/>
      <c r="F25" s="394" t="str">
        <f>IF(E25="","",IF(VLOOKUP(E25,'0_Datos generales organización'!$H$53:$L$300,3,FALSE)="","",VLOOKUP(E25,'0_Datos generales organización'!$H$53:$L$300,3,FALSE)))</f>
        <v/>
      </c>
      <c r="G25" s="411"/>
      <c r="H25" s="57" t="str">
        <f t="shared" si="1"/>
        <v/>
      </c>
      <c r="I25" s="428"/>
      <c r="J25" s="110"/>
      <c r="K25" s="110"/>
      <c r="L25" s="110"/>
    </row>
    <row r="26" spans="1:12" s="26" customFormat="1" ht="17.25" customHeight="1" x14ac:dyDescent="0.25">
      <c r="A26" s="17"/>
      <c r="B26" s="13"/>
      <c r="E26" s="410"/>
      <c r="F26" s="394" t="str">
        <f>IF(E26="","",IF(VLOOKUP(E26,'0_Datos generales organización'!$H$53:$L$300,3,FALSE)="","",VLOOKUP(E26,'0_Datos generales organización'!$H$53:$L$300,3,FALSE)))</f>
        <v/>
      </c>
      <c r="G26" s="411"/>
      <c r="H26" s="57" t="str">
        <f t="shared" si="1"/>
        <v/>
      </c>
      <c r="I26" s="428"/>
      <c r="J26" s="110"/>
      <c r="K26" s="110"/>
      <c r="L26" s="110"/>
    </row>
    <row r="27" spans="1:12" s="26" customFormat="1" ht="15.75" customHeight="1" x14ac:dyDescent="0.25">
      <c r="A27" s="17"/>
      <c r="B27" s="13"/>
    </row>
    <row r="28" spans="1:12" x14ac:dyDescent="0.3">
      <c r="A28" s="17"/>
    </row>
    <row r="29" spans="1:12" x14ac:dyDescent="0.3">
      <c r="A29" s="17"/>
      <c r="F29" s="2"/>
    </row>
    <row r="30" spans="1:12" x14ac:dyDescent="0.3">
      <c r="A30" s="17"/>
      <c r="F30" s="2"/>
    </row>
    <row r="31" spans="1:12" x14ac:dyDescent="0.3">
      <c r="A31" s="17"/>
      <c r="F31" s="2"/>
    </row>
    <row r="32" spans="1:12" x14ac:dyDescent="0.3">
      <c r="A32" s="17"/>
      <c r="F32" s="2"/>
    </row>
    <row r="33" spans="1:6" x14ac:dyDescent="0.3">
      <c r="A33" s="17"/>
      <c r="F33" s="2"/>
    </row>
    <row r="34" spans="1:6" x14ac:dyDescent="0.3">
      <c r="F34" s="2"/>
    </row>
    <row r="35" spans="1:6" x14ac:dyDescent="0.3">
      <c r="F35" s="2"/>
    </row>
    <row r="36" spans="1:6" x14ac:dyDescent="0.3">
      <c r="F36" s="2"/>
    </row>
    <row r="37" spans="1:6" x14ac:dyDescent="0.3">
      <c r="F37" s="2"/>
    </row>
    <row r="144" spans="4:12" x14ac:dyDescent="0.3">
      <c r="D144" s="92"/>
      <c r="E144" s="92"/>
      <c r="F144" s="92"/>
      <c r="G144" s="92"/>
      <c r="H144" s="92"/>
      <c r="I144" s="92"/>
      <c r="J144" s="92"/>
      <c r="K144" s="92"/>
      <c r="L144" s="92"/>
    </row>
    <row r="145" spans="4:12" x14ac:dyDescent="0.3">
      <c r="D145" s="92"/>
      <c r="E145" s="92"/>
      <c r="F145" s="92"/>
      <c r="G145" s="92"/>
      <c r="H145" s="92"/>
      <c r="I145" s="92"/>
      <c r="J145" s="92"/>
      <c r="K145" s="92"/>
      <c r="L145" s="92"/>
    </row>
  </sheetData>
  <sheetProtection sheet="1" objects="1" scenarios="1"/>
  <mergeCells count="20">
    <mergeCell ref="C1:M1"/>
    <mergeCell ref="D3:L4"/>
    <mergeCell ref="K6:K9"/>
    <mergeCell ref="E7:E9"/>
    <mergeCell ref="F7:F9"/>
    <mergeCell ref="G7:G9"/>
    <mergeCell ref="H7:H9"/>
    <mergeCell ref="E6:J6"/>
    <mergeCell ref="J7:J9"/>
    <mergeCell ref="K18:K20"/>
    <mergeCell ref="E19:E20"/>
    <mergeCell ref="F19:F20"/>
    <mergeCell ref="G19:G20"/>
    <mergeCell ref="H19:H20"/>
    <mergeCell ref="J22:J23"/>
    <mergeCell ref="I7:I9"/>
    <mergeCell ref="J11:J13"/>
    <mergeCell ref="E18:J18"/>
    <mergeCell ref="I19:I20"/>
    <mergeCell ref="J19:J20"/>
  </mergeCells>
  <conditionalFormatting sqref="D16">
    <cfRule type="expression" dxfId="33" priority="2">
      <formula>$D$10:$D$14="Biomásica"</formula>
    </cfRule>
  </conditionalFormatting>
  <dataValidations count="5">
    <dataValidation type="list" operator="equal" allowBlank="1" showInputMessage="1" showErrorMessage="1" sqref="D10:D14">
      <formula1>$E$11:$E$15</formula1>
      <formula2>0</formula2>
    </dataValidation>
    <dataValidation type="whole" operator="greaterThan" allowBlank="1" showInputMessage="1" showErrorMessage="1" sqref="I21:I26 I10:I14">
      <formula1>0</formula1>
      <formula2>0</formula2>
    </dataValidation>
    <dataValidation type="list" operator="equal" allowBlank="1" showInputMessage="1" showErrorMessage="1" sqref="G10:G14">
      <formula1>Tipo_ER</formula1>
      <formula2>0</formula2>
    </dataValidation>
    <dataValidation type="list" operator="equal" allowBlank="1" showInputMessage="1" showErrorMessage="1" sqref="D21:D26">
      <formula1>$E$22:$E$27</formula1>
      <formula2>0</formula2>
    </dataValidation>
    <dataValidation type="list" operator="equal" allowBlank="1" showInputMessage="1" showErrorMessage="1" sqref="G21:G26">
      <formula1>Tipo_Biomasa</formula1>
      <formula2>0</formula2>
    </dataValidation>
  </dataValidations>
  <hyperlinks>
    <hyperlink ref="A3" location="'0_Datos generales organización'!A1" display="0. Datos de la organización"/>
    <hyperlink ref="A4" location="'1_Combustibles fósiles'!A1" display="1. HC Alcance 1: Comb. fósiles"/>
    <hyperlink ref="A5" location="'2_Fluorados'!A1" display="2. HC Alcance 1: Fugas fluorados"/>
    <hyperlink ref="A6" location="'3_Emisiones proceso'!A1" display="3. HC Alcance 1: Emisiones proceso"/>
    <hyperlink ref="A7" location="'4.1_Electricidad Illes Balears'!A1" display="4.1 HC 2: Electricidad I. Balears"/>
    <hyperlink ref="A8" location="'4.2_Electricidad España'!A1" display="4.2 HC 2: Electricidad España"/>
    <hyperlink ref="A10" location="'6.1_Resultados Illes Balears'!A1" display="6.1 Informe final: Resultados I. Balears"/>
    <hyperlink ref="A11" location="'6.2_Resultados España'!A1" display="6.2 Informe final: Resultados España"/>
  </hyperlinks>
  <pageMargins left="0.75" right="0.75" top="1" bottom="1" header="0.51180555555555496" footer="0.51180555555555496"/>
  <pageSetup paperSize="77" scale="48" firstPageNumber="0" orientation="landscape" horizontalDpi="300" verticalDpi="300"/>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'0_Datos generales organización'!$H$52:$H$302</xm:f>
          </x14:formula1>
          <xm:sqref>E10:E14 E21:E26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AMK321"/>
  <sheetViews>
    <sheetView showRowColHeaders="0" zoomScaleNormal="100" workbookViewId="0">
      <pane xSplit="1" topLeftCell="B1" activePane="topRight" state="frozen"/>
      <selection activeCell="A52" sqref="A52"/>
      <selection pane="topRight" activeCell="C1" sqref="C1:U1"/>
    </sheetView>
  </sheetViews>
  <sheetFormatPr baseColWidth="10" defaultColWidth="9.140625" defaultRowHeight="16.5" x14ac:dyDescent="0.3"/>
  <cols>
    <col min="1" max="1" width="31.85546875" style="13" customWidth="1"/>
    <col min="2" max="2" width="1.85546875" style="13" customWidth="1"/>
    <col min="3" max="3" width="3.42578125" style="2" customWidth="1"/>
    <col min="4" max="4" width="1.28515625" style="2" customWidth="1"/>
    <col min="5" max="5" width="17.85546875" style="2" customWidth="1"/>
    <col min="6" max="6" width="14.7109375" style="2" customWidth="1"/>
    <col min="7" max="7" width="13.7109375" style="104" customWidth="1"/>
    <col min="8" max="8" width="11" style="104" customWidth="1"/>
    <col min="9" max="9" width="8.7109375" style="104" customWidth="1"/>
    <col min="10" max="10" width="4" style="104" customWidth="1"/>
    <col min="11" max="11" width="5.140625" style="104" customWidth="1"/>
    <col min="12" max="12" width="2.5703125" style="104" customWidth="1"/>
    <col min="13" max="13" width="17.42578125" style="104" customWidth="1"/>
    <col min="14" max="14" width="7.140625" style="2" customWidth="1"/>
    <col min="15" max="15" width="19.5703125" style="2" customWidth="1"/>
    <col min="16" max="16" width="8.85546875" style="2" customWidth="1"/>
    <col min="17" max="17" width="8.28515625" style="2" customWidth="1"/>
    <col min="18" max="18" width="6.7109375" style="2" customWidth="1"/>
    <col min="19" max="20" width="4" style="2" customWidth="1"/>
    <col min="21" max="21" width="6.140625" style="2" customWidth="1"/>
    <col min="22" max="32" width="11.42578125" style="73"/>
    <col min="33" max="1025" width="11.42578125" style="2"/>
  </cols>
  <sheetData>
    <row r="1" spans="1:22" s="26" customFormat="1" ht="40.700000000000003" customHeight="1" x14ac:dyDescent="0.25">
      <c r="A1" s="13"/>
      <c r="B1" s="14"/>
      <c r="C1" s="439" t="s">
        <v>148</v>
      </c>
      <c r="D1" s="439"/>
      <c r="E1" s="439"/>
      <c r="F1" s="439"/>
      <c r="G1" s="439"/>
      <c r="H1" s="439"/>
      <c r="I1" s="439"/>
      <c r="J1" s="439"/>
      <c r="K1" s="439"/>
      <c r="L1" s="439"/>
      <c r="M1" s="439"/>
      <c r="N1" s="439"/>
      <c r="O1" s="439"/>
      <c r="P1" s="439"/>
      <c r="Q1" s="439"/>
      <c r="R1" s="439"/>
      <c r="S1" s="439"/>
      <c r="T1" s="439"/>
      <c r="U1" s="439"/>
    </row>
    <row r="2" spans="1:22" s="26" customFormat="1" ht="40.700000000000003" customHeight="1" x14ac:dyDescent="0.25">
      <c r="A2" s="13"/>
      <c r="B2" s="14"/>
      <c r="N2" s="27"/>
      <c r="O2" s="27"/>
      <c r="P2" s="27"/>
      <c r="Q2" s="27"/>
      <c r="R2" s="27"/>
      <c r="S2" s="27"/>
      <c r="T2" s="27"/>
    </row>
    <row r="3" spans="1:22" s="26" customFormat="1" ht="18" customHeight="1" x14ac:dyDescent="0.2">
      <c r="A3" s="18" t="s">
        <v>17</v>
      </c>
      <c r="B3" s="16"/>
      <c r="E3" s="528" t="s">
        <v>149</v>
      </c>
      <c r="F3" s="528"/>
      <c r="G3" s="529" t="str">
        <f>IF(ISTEXT(Dades!$E$519),Dades!$E$519,"")</f>
        <v/>
      </c>
      <c r="H3" s="529"/>
      <c r="I3" s="529"/>
      <c r="J3" s="529"/>
      <c r="K3" s="529"/>
      <c r="L3" s="529"/>
      <c r="M3" s="529"/>
      <c r="N3" s="529"/>
      <c r="O3" s="529"/>
      <c r="P3" s="529"/>
      <c r="Q3" s="529"/>
      <c r="R3" s="529"/>
      <c r="S3" s="529"/>
      <c r="T3" s="27"/>
    </row>
    <row r="4" spans="1:22" s="26" customFormat="1" ht="8.25" customHeight="1" x14ac:dyDescent="0.3">
      <c r="A4" s="525" t="s">
        <v>19</v>
      </c>
      <c r="B4" s="16"/>
      <c r="E4" s="112"/>
      <c r="F4" s="113"/>
      <c r="G4" s="46"/>
      <c r="H4" s="46"/>
      <c r="I4" s="46"/>
      <c r="J4" s="46"/>
      <c r="K4" s="46"/>
      <c r="L4" s="46"/>
      <c r="M4" s="46"/>
      <c r="N4" s="46"/>
      <c r="O4" s="46"/>
      <c r="P4" s="46"/>
      <c r="Q4" s="46"/>
      <c r="R4" s="46"/>
      <c r="S4" s="46"/>
      <c r="T4" s="27"/>
    </row>
    <row r="5" spans="1:22" s="26" customFormat="1" ht="8.25" customHeight="1" x14ac:dyDescent="0.2">
      <c r="A5" s="525"/>
      <c r="B5" s="16"/>
      <c r="E5" s="528" t="s">
        <v>150</v>
      </c>
      <c r="F5" s="528"/>
      <c r="G5" s="529" t="str">
        <f>IF(ISTEXT(Dades!$E$520),Dades!$E$520,"")</f>
        <v/>
      </c>
      <c r="H5" s="529"/>
      <c r="I5" s="529"/>
      <c r="J5" s="529"/>
      <c r="K5" s="529"/>
      <c r="L5" s="529"/>
      <c r="M5" s="529"/>
      <c r="N5" s="529"/>
      <c r="O5" s="529"/>
      <c r="P5" s="529"/>
      <c r="Q5" s="529"/>
      <c r="R5" s="529"/>
      <c r="S5" s="529"/>
      <c r="T5" s="27"/>
    </row>
    <row r="6" spans="1:22" s="26" customFormat="1" ht="8.25" customHeight="1" x14ac:dyDescent="0.2">
      <c r="A6" s="525" t="s">
        <v>20</v>
      </c>
      <c r="B6" s="16"/>
      <c r="E6" s="528"/>
      <c r="F6" s="528"/>
      <c r="G6" s="529"/>
      <c r="H6" s="529"/>
      <c r="I6" s="529"/>
      <c r="J6" s="529"/>
      <c r="K6" s="529"/>
      <c r="L6" s="529"/>
      <c r="M6" s="529"/>
      <c r="N6" s="529"/>
      <c r="O6" s="529"/>
      <c r="P6" s="529"/>
      <c r="Q6" s="529"/>
      <c r="R6" s="529"/>
      <c r="S6" s="529"/>
      <c r="T6" s="27"/>
    </row>
    <row r="7" spans="1:22" ht="8.25" customHeight="1" x14ac:dyDescent="0.3">
      <c r="A7" s="525"/>
      <c r="B7" s="16"/>
      <c r="E7" s="112"/>
      <c r="F7" s="113"/>
      <c r="G7" s="46"/>
      <c r="H7" s="46"/>
      <c r="I7" s="46"/>
      <c r="J7" s="46"/>
      <c r="K7" s="46"/>
      <c r="L7" s="46"/>
      <c r="M7" s="46"/>
      <c r="N7" s="46"/>
      <c r="O7" s="46"/>
      <c r="P7" s="46"/>
      <c r="Q7" s="46"/>
      <c r="R7" s="46"/>
      <c r="S7" s="46"/>
    </row>
    <row r="8" spans="1:22" ht="8.25" customHeight="1" x14ac:dyDescent="0.3">
      <c r="A8" s="525" t="s">
        <v>24</v>
      </c>
      <c r="D8" s="469" t="s">
        <v>151</v>
      </c>
      <c r="E8" s="469"/>
      <c r="F8" s="469"/>
      <c r="G8" s="469"/>
      <c r="H8" s="469"/>
      <c r="I8" s="469"/>
      <c r="J8" s="469"/>
      <c r="K8" s="469"/>
      <c r="L8" s="469"/>
      <c r="M8" s="469"/>
      <c r="N8" s="469"/>
      <c r="O8" s="469"/>
      <c r="P8" s="469"/>
      <c r="Q8" s="469"/>
      <c r="R8" s="469"/>
      <c r="S8" s="469"/>
      <c r="T8" s="469"/>
      <c r="U8" s="469"/>
    </row>
    <row r="9" spans="1:22" ht="8.25" customHeight="1" x14ac:dyDescent="0.3">
      <c r="A9" s="525"/>
      <c r="D9" s="469"/>
      <c r="E9" s="469"/>
      <c r="F9" s="469"/>
      <c r="G9" s="469"/>
      <c r="H9" s="469"/>
      <c r="I9" s="469"/>
      <c r="J9" s="469"/>
      <c r="K9" s="469"/>
      <c r="L9" s="469"/>
      <c r="M9" s="469"/>
      <c r="N9" s="469"/>
      <c r="O9" s="469"/>
      <c r="P9" s="469"/>
      <c r="Q9" s="469"/>
      <c r="R9" s="469"/>
      <c r="S9" s="469"/>
      <c r="T9" s="469"/>
      <c r="U9" s="469"/>
    </row>
    <row r="10" spans="1:22" ht="8.25" customHeight="1" x14ac:dyDescent="0.3">
      <c r="A10" s="525" t="s">
        <v>26</v>
      </c>
      <c r="G10" s="2"/>
      <c r="H10" s="2"/>
      <c r="I10" s="2"/>
      <c r="J10" s="2"/>
      <c r="K10" s="2"/>
      <c r="L10" s="2"/>
      <c r="M10" s="2"/>
    </row>
    <row r="11" spans="1:22" ht="8.25" customHeight="1" x14ac:dyDescent="0.3">
      <c r="A11" s="525"/>
      <c r="E11" s="526" t="s">
        <v>954</v>
      </c>
      <c r="F11" s="526"/>
      <c r="G11" s="526"/>
      <c r="H11" s="526"/>
      <c r="I11" s="526"/>
      <c r="J11" s="526"/>
      <c r="K11" s="526"/>
      <c r="L11" s="526"/>
      <c r="M11" s="526"/>
      <c r="N11" s="114"/>
      <c r="O11" s="114"/>
      <c r="P11" s="114"/>
      <c r="Q11" s="114"/>
      <c r="R11" s="114"/>
      <c r="S11" s="114"/>
      <c r="T11" s="114"/>
      <c r="U11" s="114"/>
      <c r="V11" s="114"/>
    </row>
    <row r="12" spans="1:22" ht="8.25" customHeight="1" x14ac:dyDescent="0.3">
      <c r="A12" s="525" t="s">
        <v>27</v>
      </c>
      <c r="E12" s="526"/>
      <c r="F12" s="526"/>
      <c r="G12" s="526"/>
      <c r="H12" s="526"/>
      <c r="I12" s="526"/>
      <c r="J12" s="526"/>
      <c r="K12" s="526"/>
      <c r="L12" s="526"/>
      <c r="M12" s="526"/>
      <c r="N12" s="114"/>
      <c r="O12" s="114"/>
      <c r="P12" s="114"/>
      <c r="Q12" s="114"/>
      <c r="R12" s="114"/>
      <c r="S12" s="114"/>
      <c r="T12" s="114"/>
      <c r="U12" s="114"/>
      <c r="V12" s="114"/>
    </row>
    <row r="13" spans="1:22" ht="7.5" customHeight="1" x14ac:dyDescent="0.3">
      <c r="A13" s="525"/>
      <c r="E13" s="46"/>
      <c r="F13" s="46"/>
      <c r="G13" s="46"/>
      <c r="H13" s="46"/>
      <c r="I13" s="46"/>
      <c r="J13" s="46"/>
      <c r="K13" s="46"/>
      <c r="L13" s="46"/>
      <c r="M13" s="46"/>
      <c r="N13" s="46"/>
      <c r="O13" s="46"/>
      <c r="P13" s="46"/>
      <c r="Q13" s="46"/>
      <c r="R13" s="46"/>
      <c r="S13" s="46"/>
    </row>
    <row r="14" spans="1:22" ht="16.5" customHeight="1" x14ac:dyDescent="0.3">
      <c r="A14" s="18" t="s">
        <v>29</v>
      </c>
      <c r="E14" s="527" t="s">
        <v>152</v>
      </c>
      <c r="F14" s="527"/>
      <c r="G14" s="115">
        <f>IF(ISNUMBER('0_Datos generales organización'!G3),'0_Datos generales organización'!G3,"")</f>
        <v>2020</v>
      </c>
      <c r="H14" s="46"/>
      <c r="I14" s="46"/>
      <c r="J14" s="46"/>
      <c r="K14" s="46"/>
      <c r="L14" s="116"/>
      <c r="M14" s="117"/>
      <c r="N14" s="46"/>
      <c r="O14" s="46"/>
      <c r="P14" s="46"/>
      <c r="Q14" s="46"/>
      <c r="R14" s="46"/>
      <c r="S14" s="46"/>
    </row>
    <row r="15" spans="1:22" ht="16.5" customHeight="1" x14ac:dyDescent="0.3">
      <c r="A15" s="15" t="s">
        <v>31</v>
      </c>
      <c r="E15" s="26"/>
      <c r="F15" s="26"/>
      <c r="G15" s="26"/>
      <c r="H15" s="26"/>
      <c r="I15" s="26"/>
      <c r="J15" s="26"/>
      <c r="K15" s="26"/>
      <c r="L15" s="116"/>
      <c r="M15" s="117"/>
      <c r="N15" s="46"/>
      <c r="O15" s="46"/>
      <c r="P15" s="46"/>
      <c r="Q15" s="46"/>
      <c r="R15" s="46"/>
      <c r="S15" s="46"/>
    </row>
    <row r="16" spans="1:22" ht="16.5" customHeight="1" x14ac:dyDescent="0.3">
      <c r="A16" s="18" t="s">
        <v>32</v>
      </c>
      <c r="E16" s="519" t="s">
        <v>153</v>
      </c>
      <c r="F16" s="519"/>
      <c r="G16" s="519"/>
      <c r="H16" s="513">
        <f>ROUND((H27/1000),2)</f>
        <v>0</v>
      </c>
      <c r="I16" s="513"/>
      <c r="J16" s="515" t="s">
        <v>154</v>
      </c>
      <c r="K16" s="515"/>
      <c r="L16" s="116"/>
      <c r="M16" s="117"/>
      <c r="N16" s="46"/>
      <c r="O16" s="46"/>
      <c r="P16" s="46"/>
      <c r="Q16" s="46"/>
      <c r="R16" s="46"/>
      <c r="S16" s="46"/>
    </row>
    <row r="17" spans="1:21" ht="16.5" customHeight="1" x14ac:dyDescent="0.3">
      <c r="A17" s="525"/>
      <c r="E17" s="519" t="s">
        <v>155</v>
      </c>
      <c r="F17" s="519"/>
      <c r="G17" s="519"/>
      <c r="H17" s="513">
        <f>ROUND((H29/1000),2)</f>
        <v>0</v>
      </c>
      <c r="I17" s="513"/>
      <c r="J17" s="515" t="s">
        <v>154</v>
      </c>
      <c r="K17" s="515"/>
      <c r="L17" s="116"/>
      <c r="M17" s="117"/>
      <c r="N17" s="46"/>
      <c r="O17" s="46"/>
      <c r="P17" s="46"/>
      <c r="Q17" s="46"/>
      <c r="R17" s="46"/>
      <c r="S17" s="46"/>
    </row>
    <row r="18" spans="1:21" ht="3" customHeight="1" x14ac:dyDescent="0.3">
      <c r="A18" s="525"/>
      <c r="E18" s="46"/>
      <c r="F18" s="46"/>
      <c r="G18" s="46"/>
      <c r="H18" s="118"/>
      <c r="I18" s="118"/>
      <c r="J18" s="46"/>
      <c r="K18" s="46"/>
      <c r="L18" s="116"/>
      <c r="M18" s="119"/>
      <c r="N18" s="46"/>
      <c r="O18" s="46"/>
      <c r="P18" s="46"/>
      <c r="Q18" s="46"/>
      <c r="R18" s="46"/>
      <c r="S18" s="46"/>
    </row>
    <row r="19" spans="1:21" ht="15.75" customHeight="1" x14ac:dyDescent="0.3">
      <c r="A19" s="17"/>
      <c r="E19" s="519" t="s">
        <v>156</v>
      </c>
      <c r="F19" s="519"/>
      <c r="G19" s="519"/>
      <c r="H19" s="520">
        <f>ROUND((H31/1000),2)</f>
        <v>0</v>
      </c>
      <c r="I19" s="520"/>
      <c r="J19" s="521" t="s">
        <v>157</v>
      </c>
      <c r="K19" s="521"/>
      <c r="L19" s="116"/>
      <c r="M19" s="117"/>
      <c r="N19" s="46"/>
      <c r="O19" s="46"/>
      <c r="P19" s="46"/>
      <c r="Q19" s="46"/>
      <c r="R19" s="46"/>
      <c r="S19" s="46"/>
    </row>
    <row r="20" spans="1:21" ht="15.75" customHeight="1" x14ac:dyDescent="0.3">
      <c r="A20" s="18"/>
      <c r="E20" s="26"/>
      <c r="F20" s="26"/>
      <c r="G20" s="26"/>
      <c r="H20" s="26"/>
      <c r="I20" s="26"/>
      <c r="J20" s="26"/>
      <c r="K20" s="26"/>
      <c r="L20" s="116"/>
      <c r="M20" s="119"/>
      <c r="N20" s="46"/>
      <c r="O20" s="46"/>
      <c r="P20" s="46"/>
      <c r="Q20" s="46"/>
      <c r="R20" s="46"/>
      <c r="S20" s="46"/>
    </row>
    <row r="21" spans="1:21" ht="15.75" customHeight="1" x14ac:dyDescent="0.3">
      <c r="A21" s="17"/>
      <c r="E21" s="522" t="s">
        <v>158</v>
      </c>
      <c r="F21" s="522"/>
      <c r="G21" s="522"/>
      <c r="H21" s="522"/>
      <c r="I21" s="522"/>
      <c r="J21" s="522"/>
      <c r="K21" s="522"/>
      <c r="L21" s="522"/>
      <c r="M21" s="119"/>
      <c r="N21" s="46"/>
      <c r="O21" s="46"/>
      <c r="P21" s="46"/>
      <c r="Q21" s="46"/>
      <c r="R21" s="46"/>
      <c r="S21" s="46"/>
    </row>
    <row r="22" spans="1:21" s="26" customFormat="1" ht="6" customHeight="1" x14ac:dyDescent="0.25">
      <c r="A22" s="17"/>
      <c r="B22" s="13"/>
      <c r="E22" s="120"/>
      <c r="F22" s="120"/>
      <c r="G22" s="120"/>
      <c r="H22" s="120"/>
      <c r="I22" s="120"/>
      <c r="J22" s="120"/>
      <c r="K22" s="120"/>
      <c r="L22" s="120"/>
      <c r="M22" s="121"/>
      <c r="N22" s="46"/>
      <c r="O22" s="46"/>
      <c r="P22" s="46"/>
      <c r="Q22" s="46"/>
      <c r="R22" s="46"/>
      <c r="S22" s="46"/>
    </row>
    <row r="23" spans="1:21" s="26" customFormat="1" ht="15.75" customHeight="1" x14ac:dyDescent="0.25">
      <c r="A23" s="17"/>
      <c r="B23" s="13"/>
      <c r="E23" s="523" t="s">
        <v>153</v>
      </c>
      <c r="F23" s="512" t="s">
        <v>159</v>
      </c>
      <c r="G23" s="512"/>
      <c r="H23" s="524">
        <f>'1_Combustibles fósiles'!O18</f>
        <v>0</v>
      </c>
      <c r="I23" s="524"/>
      <c r="J23" s="515" t="s">
        <v>955</v>
      </c>
      <c r="K23" s="515"/>
      <c r="L23" s="46"/>
      <c r="M23" s="46"/>
      <c r="N23" s="46"/>
      <c r="O23" s="46"/>
      <c r="P23" s="46"/>
      <c r="Q23" s="46"/>
      <c r="R23" s="46"/>
      <c r="S23" s="46"/>
    </row>
    <row r="24" spans="1:21" s="26" customFormat="1" ht="15.75" customHeight="1" x14ac:dyDescent="0.25">
      <c r="A24" s="17"/>
      <c r="B24" s="13"/>
      <c r="E24" s="523"/>
      <c r="F24" s="512" t="s">
        <v>160</v>
      </c>
      <c r="G24" s="512"/>
      <c r="H24" s="524">
        <f>'1_Combustibles fósiles'!V48</f>
        <v>0</v>
      </c>
      <c r="I24" s="524"/>
      <c r="J24" s="515" t="s">
        <v>955</v>
      </c>
      <c r="K24" s="515"/>
    </row>
    <row r="25" spans="1:21" s="26" customFormat="1" ht="15.75" customHeight="1" x14ac:dyDescent="0.25">
      <c r="A25" s="17"/>
      <c r="B25" s="13"/>
      <c r="E25" s="523"/>
      <c r="F25" s="512" t="s">
        <v>161</v>
      </c>
      <c r="G25" s="512"/>
      <c r="H25" s="524">
        <f>'2_Fluorados'!Q12</f>
        <v>0</v>
      </c>
      <c r="I25" s="524"/>
      <c r="J25" s="515" t="s">
        <v>162</v>
      </c>
      <c r="K25" s="515"/>
      <c r="L25" s="122"/>
      <c r="M25" s="122"/>
      <c r="N25" s="122"/>
      <c r="O25" s="122"/>
      <c r="P25" s="122"/>
      <c r="Q25" s="122"/>
      <c r="R25" s="122"/>
      <c r="S25" s="122"/>
      <c r="T25" s="122"/>
      <c r="U25" s="122"/>
    </row>
    <row r="26" spans="1:21" s="26" customFormat="1" ht="15.75" customHeight="1" x14ac:dyDescent="0.25">
      <c r="A26" s="17"/>
      <c r="B26" s="13"/>
      <c r="E26" s="523"/>
      <c r="F26" s="512" t="s">
        <v>163</v>
      </c>
      <c r="G26" s="512"/>
      <c r="H26" s="524">
        <f>'3_Emisiones proceso'!M14</f>
        <v>0</v>
      </c>
      <c r="I26" s="524"/>
      <c r="J26" s="515" t="s">
        <v>162</v>
      </c>
      <c r="K26" s="515"/>
      <c r="L26" s="122"/>
      <c r="M26" s="122"/>
      <c r="N26" s="122"/>
      <c r="O26" s="122"/>
      <c r="P26" s="122"/>
      <c r="Q26" s="122"/>
      <c r="R26" s="122"/>
      <c r="S26" s="122"/>
      <c r="T26" s="122"/>
      <c r="U26" s="122"/>
    </row>
    <row r="27" spans="1:21" s="26" customFormat="1" ht="15.75" customHeight="1" x14ac:dyDescent="0.25">
      <c r="A27" s="17"/>
      <c r="B27" s="13"/>
      <c r="E27" s="512" t="s">
        <v>164</v>
      </c>
      <c r="F27" s="512"/>
      <c r="G27" s="512"/>
      <c r="H27" s="513">
        <f>ROUND(SUM(H23:I26),2)</f>
        <v>0</v>
      </c>
      <c r="I27" s="513"/>
      <c r="J27" s="514" t="s">
        <v>165</v>
      </c>
      <c r="K27" s="514"/>
      <c r="M27" s="117"/>
      <c r="N27" s="46"/>
      <c r="O27" s="46"/>
      <c r="P27" s="46"/>
      <c r="Q27" s="46"/>
      <c r="R27" s="46"/>
      <c r="S27" s="46"/>
    </row>
    <row r="28" spans="1:21" s="26" customFormat="1" ht="3" customHeight="1" x14ac:dyDescent="0.25">
      <c r="A28" s="17"/>
      <c r="B28" s="13"/>
      <c r="E28" s="123"/>
      <c r="F28" s="124"/>
      <c r="G28" s="124"/>
      <c r="H28" s="125"/>
      <c r="I28" s="125"/>
      <c r="J28" s="126"/>
      <c r="K28" s="126"/>
      <c r="M28" s="117"/>
      <c r="N28" s="46"/>
      <c r="O28" s="46"/>
      <c r="P28" s="46"/>
      <c r="Q28" s="46"/>
      <c r="R28" s="46"/>
      <c r="S28" s="46"/>
    </row>
    <row r="29" spans="1:21" ht="16.5" customHeight="1" x14ac:dyDescent="0.3">
      <c r="A29" s="17"/>
      <c r="E29" s="127" t="s">
        <v>155</v>
      </c>
      <c r="F29" s="512" t="s">
        <v>166</v>
      </c>
      <c r="G29" s="512"/>
      <c r="H29" s="513">
        <f>'4.1_Electricidad Illes Balears'!K21+'4.1_Electricidad Illes Balears'!L51</f>
        <v>0</v>
      </c>
      <c r="I29" s="513"/>
      <c r="J29" s="515" t="s">
        <v>955</v>
      </c>
      <c r="K29" s="515"/>
      <c r="L29" s="26"/>
      <c r="M29" s="117"/>
      <c r="N29" s="46"/>
      <c r="O29" s="46"/>
      <c r="P29" s="46"/>
      <c r="Q29" s="46"/>
      <c r="R29" s="46"/>
      <c r="S29" s="46"/>
    </row>
    <row r="30" spans="1:21" ht="3" customHeight="1" x14ac:dyDescent="0.3">
      <c r="A30" s="17"/>
      <c r="E30" s="46"/>
      <c r="F30" s="46"/>
      <c r="G30" s="46"/>
      <c r="H30" s="118"/>
      <c r="I30" s="118"/>
      <c r="J30" s="46"/>
      <c r="K30" s="46"/>
      <c r="L30" s="26"/>
      <c r="M30" s="117"/>
      <c r="N30" s="46"/>
      <c r="O30" s="46"/>
      <c r="P30" s="46"/>
      <c r="Q30" s="46"/>
      <c r="R30" s="46"/>
      <c r="S30" s="46"/>
    </row>
    <row r="31" spans="1:21" ht="16.5" customHeight="1" x14ac:dyDescent="0.3">
      <c r="A31" s="47"/>
      <c r="E31" s="516" t="s">
        <v>156</v>
      </c>
      <c r="F31" s="516"/>
      <c r="G31" s="516"/>
      <c r="H31" s="517">
        <f>IF(ISNUMBER(SUM(H27+H29)),ROUND(SUM(H27+H29),2),"")</f>
        <v>0</v>
      </c>
      <c r="I31" s="517"/>
      <c r="J31" s="518" t="s">
        <v>165</v>
      </c>
      <c r="K31" s="518"/>
      <c r="L31" s="26"/>
      <c r="M31" s="117"/>
      <c r="N31" s="46"/>
      <c r="O31" s="46"/>
      <c r="P31" s="46"/>
      <c r="Q31" s="46"/>
      <c r="R31" s="46"/>
      <c r="S31" s="46"/>
    </row>
    <row r="32" spans="1:21" s="26" customFormat="1" ht="16.5" customHeight="1" x14ac:dyDescent="0.25">
      <c r="A32" s="47"/>
      <c r="B32" s="13"/>
      <c r="E32" s="508" t="s">
        <v>167</v>
      </c>
      <c r="F32" s="508"/>
      <c r="G32" s="508"/>
      <c r="H32" s="508"/>
      <c r="I32" s="508"/>
      <c r="J32" s="508"/>
      <c r="K32" s="508"/>
      <c r="M32" s="117"/>
      <c r="N32" s="46"/>
      <c r="O32" s="46"/>
      <c r="P32" s="46"/>
      <c r="Q32" s="46"/>
      <c r="R32" s="46"/>
      <c r="S32" s="46"/>
    </row>
    <row r="33" spans="1:21" s="26" customFormat="1" ht="11.25" customHeight="1" x14ac:dyDescent="0.25">
      <c r="A33" s="47"/>
      <c r="B33" s="13"/>
      <c r="E33" s="128"/>
      <c r="F33" s="128"/>
      <c r="G33" s="128"/>
      <c r="H33" s="128"/>
      <c r="I33" s="128"/>
      <c r="J33" s="128"/>
      <c r="K33" s="128"/>
      <c r="L33" s="46"/>
      <c r="M33" s="46"/>
      <c r="N33" s="46"/>
      <c r="O33" s="46"/>
      <c r="P33" s="46"/>
      <c r="Q33" s="46"/>
      <c r="R33" s="46"/>
      <c r="S33" s="46"/>
    </row>
    <row r="34" spans="1:21" s="26" customFormat="1" ht="17.25" customHeight="1" x14ac:dyDescent="0.25">
      <c r="A34" s="47"/>
      <c r="B34" s="13"/>
      <c r="D34" s="469" t="s">
        <v>168</v>
      </c>
      <c r="E34" s="469"/>
      <c r="F34" s="469"/>
      <c r="G34" s="469"/>
      <c r="H34" s="469"/>
      <c r="I34" s="469"/>
      <c r="J34" s="469"/>
      <c r="K34" s="469"/>
      <c r="L34" s="469"/>
      <c r="M34" s="469"/>
      <c r="N34" s="469"/>
      <c r="O34" s="469"/>
      <c r="P34" s="469"/>
      <c r="Q34" s="469"/>
      <c r="R34" s="469"/>
      <c r="S34" s="469"/>
      <c r="T34" s="469"/>
      <c r="U34" s="469"/>
    </row>
    <row r="35" spans="1:21" s="26" customFormat="1" ht="9" customHeight="1" x14ac:dyDescent="0.25">
      <c r="A35" s="47"/>
      <c r="B35" s="13"/>
      <c r="E35" s="46"/>
      <c r="F35" s="46"/>
      <c r="G35" s="46"/>
      <c r="H35" s="46"/>
      <c r="I35" s="46"/>
      <c r="J35" s="46"/>
      <c r="K35" s="46"/>
      <c r="L35" s="46"/>
      <c r="M35" s="46"/>
      <c r="N35" s="46"/>
      <c r="O35" s="46"/>
      <c r="P35" s="46"/>
      <c r="Q35" s="46"/>
      <c r="R35" s="46"/>
      <c r="S35" s="46"/>
    </row>
    <row r="36" spans="1:21" s="26" customFormat="1" ht="4.5" customHeight="1" x14ac:dyDescent="0.3">
      <c r="A36" s="47"/>
      <c r="B36" s="13"/>
      <c r="E36" s="129"/>
      <c r="F36" s="130"/>
      <c r="G36" s="130"/>
      <c r="H36" s="131"/>
      <c r="I36" s="131"/>
      <c r="J36" s="132"/>
      <c r="K36" s="133"/>
      <c r="L36" s="2"/>
      <c r="M36" s="2"/>
      <c r="N36" s="46"/>
      <c r="O36" s="46"/>
      <c r="P36" s="46"/>
      <c r="Q36" s="46"/>
      <c r="R36" s="46"/>
      <c r="S36" s="46"/>
    </row>
    <row r="37" spans="1:21" ht="18" customHeight="1" x14ac:dyDescent="0.3">
      <c r="A37" s="47"/>
      <c r="E37" s="134"/>
      <c r="F37" s="135"/>
      <c r="G37" s="136" t="str">
        <f>IF(ISNUMBER(Dades!AP663),Dades!AP663,"")</f>
        <v/>
      </c>
      <c r="H37" s="137" t="s">
        <v>169</v>
      </c>
      <c r="I37" s="138" t="str">
        <f>IF(ISTEXT('0_Datos generales organización'!L27),'0_Datos generales organización'!L27,"")</f>
        <v>Unidades</v>
      </c>
      <c r="J37" s="139"/>
      <c r="K37" s="133"/>
      <c r="L37" s="2"/>
      <c r="M37" s="2"/>
      <c r="N37" s="46"/>
      <c r="O37" s="46"/>
      <c r="P37" s="46"/>
      <c r="Q37" s="46"/>
      <c r="R37" s="46"/>
      <c r="S37" s="46"/>
    </row>
    <row r="38" spans="1:21" ht="4.5" customHeight="1" x14ac:dyDescent="0.3">
      <c r="A38" s="47"/>
      <c r="E38" s="509" t="s">
        <v>170</v>
      </c>
      <c r="F38" s="135"/>
      <c r="G38" s="140"/>
      <c r="H38" s="141"/>
      <c r="I38" s="142"/>
      <c r="J38" s="139"/>
      <c r="K38" s="133"/>
      <c r="L38" s="2"/>
      <c r="M38" s="2"/>
      <c r="N38" s="46"/>
      <c r="O38" s="46"/>
      <c r="Q38" s="46"/>
      <c r="R38" s="46"/>
      <c r="S38" s="46"/>
    </row>
    <row r="39" spans="1:21" ht="18" customHeight="1" x14ac:dyDescent="0.3">
      <c r="A39" s="22"/>
      <c r="E39" s="509"/>
      <c r="F39" s="143">
        <f>IF(ISNUMBER(Dades!$G$544),Dades!$G$526,"")</f>
        <v>2020</v>
      </c>
      <c r="G39" s="136" t="str">
        <f>IF(ISNUMBER(Dades!AP664),Dades!AP664,"")</f>
        <v/>
      </c>
      <c r="H39" s="137" t="s">
        <v>171</v>
      </c>
      <c r="I39" s="144" t="s">
        <v>172</v>
      </c>
      <c r="J39" s="145"/>
      <c r="K39" s="133"/>
      <c r="L39" s="2"/>
      <c r="M39" s="2"/>
      <c r="N39" s="46"/>
      <c r="O39" s="46"/>
      <c r="P39" s="46"/>
      <c r="Q39" s="46"/>
      <c r="R39" s="46"/>
      <c r="S39" s="46"/>
    </row>
    <row r="40" spans="1:21" ht="4.5" customHeight="1" x14ac:dyDescent="0.3">
      <c r="A40" s="22"/>
      <c r="E40" s="509"/>
      <c r="F40" s="146"/>
      <c r="G40" s="147"/>
      <c r="H40" s="148"/>
      <c r="I40" s="149"/>
      <c r="J40" s="150"/>
      <c r="K40" s="133"/>
      <c r="L40" s="2"/>
      <c r="M40" s="2"/>
    </row>
    <row r="41" spans="1:21" ht="18" customHeight="1" x14ac:dyDescent="0.3">
      <c r="A41" s="22"/>
      <c r="E41" s="134"/>
      <c r="F41" s="151"/>
      <c r="G41" s="136" t="str">
        <f>IF(ISNUMBER(Dades!AP665),Dades!AP665,"")</f>
        <v/>
      </c>
      <c r="H41" s="137" t="s">
        <v>171</v>
      </c>
      <c r="I41" s="138" t="s">
        <v>173</v>
      </c>
      <c r="J41" s="145"/>
      <c r="K41" s="133"/>
      <c r="L41" s="2"/>
      <c r="M41" s="2"/>
    </row>
    <row r="42" spans="1:21" ht="4.5" customHeight="1" x14ac:dyDescent="0.3">
      <c r="A42" s="22"/>
      <c r="E42" s="152"/>
      <c r="F42" s="153"/>
      <c r="G42" s="154"/>
      <c r="H42" s="155"/>
      <c r="I42" s="155"/>
      <c r="J42" s="156"/>
      <c r="K42" s="133"/>
      <c r="L42" s="2"/>
      <c r="M42" s="2"/>
    </row>
    <row r="43" spans="1:21" ht="12.95" customHeight="1" x14ac:dyDescent="0.3">
      <c r="A43" s="22"/>
      <c r="F43" s="157"/>
      <c r="G43" s="158"/>
      <c r="H43" s="133"/>
      <c r="I43" s="133"/>
      <c r="J43" s="133"/>
      <c r="K43" s="133"/>
      <c r="L43" s="41"/>
      <c r="M43" s="41"/>
    </row>
    <row r="44" spans="1:21" ht="4.5" customHeight="1" x14ac:dyDescent="0.3">
      <c r="E44" s="159"/>
      <c r="F44" s="160"/>
      <c r="G44" s="161"/>
      <c r="H44" s="162"/>
      <c r="I44" s="163"/>
      <c r="J44" s="164"/>
      <c r="K44" s="133"/>
      <c r="L44" s="2"/>
      <c r="M44" s="2"/>
    </row>
    <row r="45" spans="1:21" ht="18" customHeight="1" x14ac:dyDescent="0.3">
      <c r="A45" s="26"/>
      <c r="B45" s="26"/>
      <c r="E45" s="165"/>
      <c r="F45" s="166"/>
      <c r="G45" s="136" t="str">
        <f>IF(ISNUMBER(Dades!AM663),Dades!AM663,"")</f>
        <v/>
      </c>
      <c r="H45" s="167" t="s">
        <v>174</v>
      </c>
      <c r="I45" s="168" t="str">
        <f>IF(ISTEXT(I37),I37,"")</f>
        <v>Unidades</v>
      </c>
      <c r="J45" s="169"/>
      <c r="K45" s="133"/>
      <c r="L45" s="2"/>
      <c r="M45" s="2"/>
    </row>
    <row r="46" spans="1:21" ht="4.5" customHeight="1" x14ac:dyDescent="0.3">
      <c r="A46" s="26"/>
      <c r="B46" s="26"/>
      <c r="E46" s="170"/>
      <c r="F46" s="166"/>
      <c r="G46" s="171"/>
      <c r="H46" s="172"/>
      <c r="I46" s="173"/>
      <c r="J46" s="169"/>
      <c r="K46" s="133"/>
      <c r="L46" s="2"/>
      <c r="M46" s="2"/>
    </row>
    <row r="47" spans="1:21" ht="18" customHeight="1" x14ac:dyDescent="0.3">
      <c r="A47" s="26"/>
      <c r="B47" s="26"/>
      <c r="E47" s="174" t="s">
        <v>175</v>
      </c>
      <c r="F47" s="175" t="str">
        <f>IF(ISNUMBER(Dades!$D$544),Dades!$D$544,"")</f>
        <v/>
      </c>
      <c r="G47" s="136" t="str">
        <f>IF(ISNUMBER(Dades!AM664),Dades!AM664,"")</f>
        <v/>
      </c>
      <c r="H47" s="167" t="s">
        <v>174</v>
      </c>
      <c r="I47" s="176" t="s">
        <v>176</v>
      </c>
      <c r="J47" s="177"/>
      <c r="K47" s="133"/>
      <c r="L47" s="2"/>
      <c r="M47" s="2"/>
    </row>
    <row r="48" spans="1:21" ht="4.5" customHeight="1" x14ac:dyDescent="0.3">
      <c r="A48" s="26"/>
      <c r="B48" s="26"/>
      <c r="E48" s="178"/>
      <c r="F48" s="179"/>
      <c r="G48" s="180"/>
      <c r="H48" s="167"/>
      <c r="I48" s="173"/>
      <c r="J48" s="169"/>
      <c r="K48" s="133"/>
      <c r="L48" s="2"/>
      <c r="M48" s="2"/>
    </row>
    <row r="49" spans="1:21" ht="18" customHeight="1" x14ac:dyDescent="0.3">
      <c r="A49" s="26"/>
      <c r="B49" s="26"/>
      <c r="E49" s="165"/>
      <c r="F49" s="181"/>
      <c r="G49" s="136" t="str">
        <f>IF(ISNUMBER(Dades!AM665),Dades!AM665,"")</f>
        <v/>
      </c>
      <c r="H49" s="167" t="s">
        <v>174</v>
      </c>
      <c r="I49" s="168" t="s">
        <v>173</v>
      </c>
      <c r="J49" s="177"/>
      <c r="K49" s="133"/>
      <c r="L49" s="2"/>
      <c r="M49" s="2"/>
    </row>
    <row r="50" spans="1:21" ht="4.5" customHeight="1" x14ac:dyDescent="0.3">
      <c r="A50" s="26"/>
      <c r="B50" s="26"/>
      <c r="E50" s="182"/>
      <c r="F50" s="183"/>
      <c r="G50" s="184"/>
      <c r="H50" s="185"/>
      <c r="I50" s="185"/>
      <c r="J50" s="186"/>
      <c r="K50" s="133"/>
      <c r="L50" s="2"/>
      <c r="M50" s="2"/>
    </row>
    <row r="51" spans="1:21" s="73" customFormat="1" ht="12.95" customHeight="1" x14ac:dyDescent="0.3">
      <c r="A51" s="13"/>
      <c r="B51" s="13"/>
      <c r="C51" s="2"/>
      <c r="D51" s="2"/>
      <c r="E51" s="2"/>
      <c r="F51" s="157"/>
      <c r="G51" s="187"/>
      <c r="H51" s="104"/>
      <c r="I51" s="104"/>
      <c r="J51" s="104"/>
      <c r="K51" s="104"/>
      <c r="L51" s="2"/>
      <c r="M51" s="2"/>
      <c r="N51" s="2"/>
      <c r="O51" s="2"/>
      <c r="P51" s="2"/>
      <c r="Q51" s="2"/>
      <c r="R51" s="2"/>
      <c r="S51" s="2"/>
      <c r="T51" s="2"/>
      <c r="U51" s="2"/>
    </row>
    <row r="52" spans="1:21" s="73" customFormat="1" ht="4.5" customHeight="1" x14ac:dyDescent="0.3">
      <c r="A52" s="13"/>
      <c r="B52" s="13"/>
      <c r="C52" s="2"/>
      <c r="D52" s="2"/>
      <c r="E52" s="159"/>
      <c r="F52" s="160"/>
      <c r="G52" s="161"/>
      <c r="H52" s="163"/>
      <c r="I52" s="163"/>
      <c r="J52" s="164"/>
      <c r="K52" s="133"/>
      <c r="L52" s="2"/>
      <c r="M52" s="2"/>
      <c r="N52" s="2"/>
      <c r="O52" s="2"/>
      <c r="P52" s="2"/>
      <c r="Q52" s="2"/>
      <c r="R52" s="2"/>
      <c r="S52" s="2"/>
      <c r="T52" s="2"/>
      <c r="U52" s="2"/>
    </row>
    <row r="53" spans="1:21" s="73" customFormat="1" ht="18" customHeight="1" x14ac:dyDescent="0.3">
      <c r="A53" s="13"/>
      <c r="B53" s="13"/>
      <c r="C53" s="2"/>
      <c r="D53" s="2"/>
      <c r="E53" s="165"/>
      <c r="F53" s="166"/>
      <c r="G53" s="136" t="str">
        <f>IF(ISNUMBER(Dades!AN663),Dades!AN663,"")</f>
        <v/>
      </c>
      <c r="H53" s="167" t="s">
        <v>174</v>
      </c>
      <c r="I53" s="168" t="str">
        <f>IF(ISTEXT(I37),I37,"")</f>
        <v>Unidades</v>
      </c>
      <c r="J53" s="169"/>
      <c r="K53" s="133"/>
      <c r="L53" s="2"/>
      <c r="M53" s="2"/>
      <c r="N53" s="2"/>
      <c r="O53" s="2"/>
      <c r="P53" s="2"/>
      <c r="Q53" s="2"/>
      <c r="R53" s="188"/>
      <c r="S53" s="2"/>
      <c r="T53" s="2"/>
      <c r="U53" s="2"/>
    </row>
    <row r="54" spans="1:21" s="73" customFormat="1" ht="4.5" customHeight="1" x14ac:dyDescent="0.3">
      <c r="A54" s="13"/>
      <c r="B54" s="13"/>
      <c r="C54" s="2"/>
      <c r="D54" s="2"/>
      <c r="E54" s="170"/>
      <c r="F54" s="166"/>
      <c r="G54" s="171"/>
      <c r="H54" s="189"/>
      <c r="I54" s="190"/>
      <c r="J54" s="169"/>
      <c r="K54" s="133"/>
      <c r="L54" s="2"/>
      <c r="M54" s="2"/>
      <c r="N54" s="2"/>
      <c r="O54" s="2"/>
      <c r="P54" s="2"/>
      <c r="Q54" s="2"/>
      <c r="R54" s="2"/>
      <c r="S54" s="2"/>
      <c r="T54" s="2"/>
      <c r="U54" s="2"/>
    </row>
    <row r="55" spans="1:21" s="73" customFormat="1" ht="18" customHeight="1" x14ac:dyDescent="0.3">
      <c r="A55" s="13"/>
      <c r="B55" s="13"/>
      <c r="C55" s="2"/>
      <c r="D55" s="2"/>
      <c r="E55" s="174" t="s">
        <v>177</v>
      </c>
      <c r="F55" s="175" t="str">
        <f>IF(ISNUMBER(Dades!E544),Dades!E544,"")</f>
        <v/>
      </c>
      <c r="G55" s="136" t="str">
        <f>IF(ISNUMBER(Dades!AN664),Dades!AN664,"")</f>
        <v/>
      </c>
      <c r="H55" s="167" t="s">
        <v>174</v>
      </c>
      <c r="I55" s="176" t="s">
        <v>176</v>
      </c>
      <c r="J55" s="177"/>
      <c r="K55" s="133"/>
      <c r="L55" s="2"/>
      <c r="M55" s="2"/>
      <c r="N55" s="2"/>
      <c r="O55" s="2"/>
      <c r="P55" s="2"/>
      <c r="Q55" s="2"/>
    </row>
    <row r="56" spans="1:21" s="73" customFormat="1" ht="4.5" customHeight="1" x14ac:dyDescent="0.3">
      <c r="A56" s="13"/>
      <c r="B56" s="13"/>
      <c r="C56" s="2"/>
      <c r="D56" s="2"/>
      <c r="E56" s="178"/>
      <c r="F56" s="179"/>
      <c r="G56" s="180"/>
      <c r="H56" s="191"/>
      <c r="I56" s="190"/>
      <c r="J56" s="169"/>
      <c r="K56" s="133"/>
      <c r="L56" s="2"/>
      <c r="M56" s="2"/>
      <c r="N56" s="2"/>
      <c r="O56" s="2"/>
      <c r="P56" s="2"/>
      <c r="Q56" s="2"/>
    </row>
    <row r="57" spans="1:21" s="73" customFormat="1" ht="18" customHeight="1" x14ac:dyDescent="0.3">
      <c r="A57" s="13"/>
      <c r="B57" s="13"/>
      <c r="C57" s="2"/>
      <c r="D57" s="2"/>
      <c r="E57" s="165"/>
      <c r="F57" s="181"/>
      <c r="G57" s="136" t="str">
        <f>IF(ISNUMBER(Dades!AN663),Dades!AN663,"")</f>
        <v/>
      </c>
      <c r="H57" s="167" t="s">
        <v>174</v>
      </c>
      <c r="I57" s="168" t="s">
        <v>173</v>
      </c>
      <c r="J57" s="177"/>
      <c r="K57" s="133"/>
      <c r="L57" s="2"/>
      <c r="M57" s="2"/>
      <c r="N57" s="2"/>
      <c r="O57" s="2"/>
      <c r="P57" s="2"/>
      <c r="Q57" s="2"/>
    </row>
    <row r="58" spans="1:21" s="73" customFormat="1" ht="4.5" customHeight="1" x14ac:dyDescent="0.3">
      <c r="A58" s="13"/>
      <c r="B58" s="13"/>
      <c r="C58" s="2"/>
      <c r="D58" s="2"/>
      <c r="E58" s="182"/>
      <c r="F58" s="183"/>
      <c r="G58" s="183"/>
      <c r="H58" s="185"/>
      <c r="I58" s="185"/>
      <c r="J58" s="186"/>
      <c r="K58" s="133"/>
      <c r="L58" s="2"/>
      <c r="M58" s="2"/>
      <c r="N58" s="2"/>
      <c r="O58" s="2"/>
      <c r="P58" s="2"/>
      <c r="Q58" s="2"/>
    </row>
    <row r="59" spans="1:21" s="73" customFormat="1" ht="12.95" customHeight="1" x14ac:dyDescent="0.3">
      <c r="A59" s="13"/>
      <c r="B59" s="13"/>
      <c r="C59" s="2"/>
      <c r="D59" s="2"/>
      <c r="E59" s="2"/>
      <c r="F59" s="157"/>
      <c r="G59" s="187"/>
      <c r="H59" s="104"/>
      <c r="I59" s="104"/>
      <c r="J59" s="104"/>
      <c r="K59" s="104"/>
      <c r="L59" s="2"/>
      <c r="M59" s="2"/>
      <c r="N59" s="2"/>
      <c r="O59" s="2"/>
      <c r="P59" s="2"/>
      <c r="Q59" s="2"/>
    </row>
    <row r="60" spans="1:21" s="73" customFormat="1" ht="4.5" customHeight="1" x14ac:dyDescent="0.3">
      <c r="A60" s="13"/>
      <c r="B60" s="13"/>
      <c r="C60" s="2"/>
      <c r="D60" s="2"/>
      <c r="E60" s="159"/>
      <c r="F60" s="160"/>
      <c r="G60" s="161"/>
      <c r="H60" s="163"/>
      <c r="I60" s="163"/>
      <c r="J60" s="164"/>
      <c r="K60" s="133"/>
      <c r="L60" s="2"/>
      <c r="M60" s="2"/>
      <c r="N60" s="2"/>
      <c r="O60" s="2"/>
      <c r="P60" s="2"/>
      <c r="Q60" s="2"/>
    </row>
    <row r="61" spans="1:21" s="73" customFormat="1" ht="18" customHeight="1" x14ac:dyDescent="0.3">
      <c r="A61" s="13"/>
      <c r="B61" s="13"/>
      <c r="C61" s="2"/>
      <c r="D61" s="2"/>
      <c r="E61" s="165"/>
      <c r="F61" s="166"/>
      <c r="G61" s="136" t="str">
        <f>IF(ISNUMBER(Dades!AO663),Dades!AO663,"")</f>
        <v/>
      </c>
      <c r="H61" s="167" t="s">
        <v>174</v>
      </c>
      <c r="I61" s="168" t="str">
        <f>IF(ISTEXT(I37),I37,"")</f>
        <v>Unidades</v>
      </c>
      <c r="J61" s="169"/>
      <c r="K61" s="133"/>
      <c r="L61" s="2"/>
      <c r="M61" s="2"/>
      <c r="N61" s="2"/>
      <c r="O61" s="2"/>
      <c r="P61" s="2"/>
      <c r="Q61" s="2"/>
    </row>
    <row r="62" spans="1:21" s="73" customFormat="1" ht="4.5" customHeight="1" x14ac:dyDescent="0.3">
      <c r="A62" s="13"/>
      <c r="B62" s="13"/>
      <c r="C62" s="2"/>
      <c r="D62" s="2"/>
      <c r="E62" s="170"/>
      <c r="F62" s="166"/>
      <c r="G62" s="171"/>
      <c r="H62" s="189"/>
      <c r="I62" s="190"/>
      <c r="J62" s="169"/>
      <c r="K62" s="133"/>
      <c r="L62" s="2"/>
      <c r="M62" s="2"/>
      <c r="N62" s="2"/>
      <c r="O62" s="2"/>
      <c r="P62" s="2"/>
      <c r="Q62" s="2"/>
      <c r="R62" s="2"/>
      <c r="S62" s="2"/>
    </row>
    <row r="63" spans="1:21" s="73" customFormat="1" ht="18" customHeight="1" x14ac:dyDescent="0.3">
      <c r="A63" s="13"/>
      <c r="B63" s="13"/>
      <c r="C63" s="2"/>
      <c r="D63" s="2"/>
      <c r="E63" s="174" t="s">
        <v>178</v>
      </c>
      <c r="F63" s="175" t="str">
        <f>IF(ISNUMBER(Dades!$F$526),Dades!$F$526,"")</f>
        <v/>
      </c>
      <c r="G63" s="136" t="str">
        <f>IF(ISNUMBER(Dades!AO664),Dades!AO664,"")</f>
        <v/>
      </c>
      <c r="H63" s="167" t="s">
        <v>174</v>
      </c>
      <c r="I63" s="176" t="s">
        <v>176</v>
      </c>
      <c r="J63" s="177"/>
      <c r="K63" s="133"/>
      <c r="L63" s="2"/>
      <c r="M63" s="2"/>
      <c r="N63" s="2"/>
      <c r="O63" s="2"/>
      <c r="P63" s="2"/>
      <c r="Q63" s="2"/>
      <c r="R63" s="2"/>
      <c r="S63" s="2"/>
    </row>
    <row r="64" spans="1:21" s="73" customFormat="1" ht="4.5" customHeight="1" x14ac:dyDescent="0.3">
      <c r="A64" s="13"/>
      <c r="B64" s="13"/>
      <c r="C64" s="2"/>
      <c r="D64" s="2"/>
      <c r="E64" s="178"/>
      <c r="F64" s="179"/>
      <c r="G64" s="180"/>
      <c r="H64" s="191"/>
      <c r="I64" s="190"/>
      <c r="J64" s="169"/>
      <c r="K64" s="133"/>
      <c r="L64" s="2"/>
      <c r="M64" s="2"/>
      <c r="N64" s="2"/>
      <c r="O64" s="2"/>
      <c r="P64" s="2"/>
      <c r="Q64" s="2"/>
      <c r="R64" s="2"/>
      <c r="S64" s="2"/>
      <c r="T64" s="2"/>
      <c r="U64" s="2"/>
    </row>
    <row r="65" spans="1:21" s="73" customFormat="1" ht="18" customHeight="1" x14ac:dyDescent="0.3">
      <c r="A65" s="13"/>
      <c r="B65" s="13"/>
      <c r="C65" s="2"/>
      <c r="D65" s="2"/>
      <c r="E65" s="165"/>
      <c r="F65" s="181"/>
      <c r="G65" s="136" t="str">
        <f>IF(ISNUMBER(Dades!AO665),Dades!AO665,"")</f>
        <v/>
      </c>
      <c r="H65" s="167" t="s">
        <v>174</v>
      </c>
      <c r="I65" s="168" t="s">
        <v>173</v>
      </c>
      <c r="J65" s="177"/>
      <c r="K65" s="133"/>
      <c r="L65" s="2"/>
      <c r="N65" s="83"/>
      <c r="O65" s="510"/>
      <c r="P65" s="511"/>
      <c r="Q65" s="510"/>
      <c r="R65" s="83"/>
      <c r="S65" s="2"/>
      <c r="T65" s="2"/>
      <c r="U65" s="2"/>
    </row>
    <row r="66" spans="1:21" s="73" customFormat="1" ht="4.5" customHeight="1" x14ac:dyDescent="0.3">
      <c r="A66" s="13"/>
      <c r="B66" s="13"/>
      <c r="C66" s="2"/>
      <c r="D66" s="2"/>
      <c r="E66" s="182"/>
      <c r="F66" s="183"/>
      <c r="G66" s="183"/>
      <c r="H66" s="185"/>
      <c r="I66" s="185"/>
      <c r="J66" s="186"/>
      <c r="K66" s="133"/>
      <c r="L66" s="2"/>
      <c r="M66" s="2"/>
      <c r="N66" s="83"/>
      <c r="O66" s="510"/>
      <c r="P66" s="511"/>
      <c r="Q66" s="510"/>
      <c r="R66" s="83"/>
      <c r="S66" s="2"/>
      <c r="T66" s="2"/>
      <c r="U66" s="2"/>
    </row>
    <row r="67" spans="1:21" s="73" customFormat="1" ht="8.25" customHeight="1" x14ac:dyDescent="0.3">
      <c r="A67" s="13"/>
      <c r="B67" s="13"/>
      <c r="C67" s="2"/>
      <c r="D67" s="2"/>
      <c r="E67" s="2"/>
      <c r="F67" s="2"/>
      <c r="G67" s="104"/>
      <c r="H67" s="104"/>
      <c r="I67" s="104"/>
      <c r="J67" s="104"/>
      <c r="K67" s="104"/>
      <c r="L67" s="2"/>
      <c r="M67" s="2"/>
      <c r="N67" s="2"/>
      <c r="O67" s="2"/>
      <c r="P67" s="2"/>
      <c r="Q67" s="2"/>
      <c r="R67" s="2"/>
      <c r="S67" s="2"/>
      <c r="T67" s="2"/>
      <c r="U67" s="2"/>
    </row>
    <row r="68" spans="1:21" x14ac:dyDescent="0.3">
      <c r="D68" s="469" t="s">
        <v>996</v>
      </c>
      <c r="E68" s="469"/>
      <c r="F68" s="469"/>
      <c r="G68" s="469"/>
      <c r="H68" s="469"/>
      <c r="I68" s="469"/>
      <c r="J68" s="469"/>
      <c r="K68" s="469"/>
      <c r="L68" s="469"/>
      <c r="M68" s="469"/>
      <c r="N68" s="469"/>
      <c r="O68" s="469"/>
      <c r="P68" s="469"/>
      <c r="Q68" s="469"/>
      <c r="R68" s="469"/>
      <c r="S68" s="469"/>
      <c r="T68" s="469"/>
      <c r="U68" s="469"/>
    </row>
    <row r="69" spans="1:21" x14ac:dyDescent="0.3">
      <c r="D69" s="192" t="s">
        <v>999</v>
      </c>
      <c r="E69" s="193"/>
      <c r="L69" s="2"/>
      <c r="M69" s="2"/>
    </row>
    <row r="71" spans="1:21" ht="36.75" customHeight="1" x14ac:dyDescent="0.3">
      <c r="E71" s="396" t="s">
        <v>65</v>
      </c>
      <c r="F71" s="195" t="s">
        <v>159</v>
      </c>
      <c r="G71" s="195" t="s">
        <v>997</v>
      </c>
      <c r="H71" s="195" t="s">
        <v>1020</v>
      </c>
      <c r="I71" s="505" t="s">
        <v>180</v>
      </c>
      <c r="J71" s="505"/>
      <c r="K71" s="506" t="s">
        <v>153</v>
      </c>
      <c r="L71" s="506"/>
      <c r="M71" s="506"/>
      <c r="N71" s="507" t="s">
        <v>1021</v>
      </c>
      <c r="O71" s="506"/>
      <c r="P71" s="506" t="s">
        <v>156</v>
      </c>
      <c r="Q71" s="506"/>
      <c r="R71" s="506"/>
    </row>
    <row r="72" spans="1:21" x14ac:dyDescent="0.3">
      <c r="E72" s="195" t="str">
        <f>IF(Dades!E662="","",Dades!E662)</f>
        <v/>
      </c>
      <c r="F72" s="397">
        <f>DSUM('1_Combustibles fósiles'!$E$17:$N$39,"emissions",'6.1_Resultados Illes Balears'!E71:E72)/1000</f>
        <v>0</v>
      </c>
      <c r="G72" s="397">
        <f>(DSUM('1_Combustibles fósiles'!$E$47:$U$67,"emissions1",'6.1_Resultados Illes Balears'!E71:E72)+DSUM('1_Combustibles fósiles'!$E$47:$U$67,"emissions2",'6.1_Resultados Illes Balears'!E71:E72))/1000</f>
        <v>0</v>
      </c>
      <c r="H72" s="397">
        <f>DSUM('2_Fluorados'!$E$11:$P$33,"emissions",'6.1_Resultados Illes Balears'!E71:E72)/1000</f>
        <v>0</v>
      </c>
      <c r="I72" s="503">
        <f>DSUM('3_Emisiones proceso'!$E$13:$K$35,"emissions",'6.1_Resultados Illes Balears'!E71:E72)/1000</f>
        <v>0</v>
      </c>
      <c r="J72" s="503"/>
      <c r="K72" s="504">
        <f>SUM(F72:J72)</f>
        <v>0</v>
      </c>
      <c r="L72" s="504"/>
      <c r="M72" s="504"/>
      <c r="N72" s="503">
        <f>(DSUM('4.1_Electricidad Illes Balears'!$E$20:$J$42,"emisiones",'6.1_Resultados Illes Balears'!E71:E72)+DSUM('4.1_Electricidad Illes Balears'!$E$50:$K$70,"emisiones",'6.1_Resultados Illes Balears'!E71:E72))/1000</f>
        <v>0</v>
      </c>
      <c r="O72" s="504"/>
      <c r="P72" s="504">
        <f>K72+N72</f>
        <v>0</v>
      </c>
      <c r="Q72" s="504"/>
      <c r="R72" s="504"/>
    </row>
    <row r="73" spans="1:21" x14ac:dyDescent="0.3">
      <c r="E73" s="195" t="str">
        <f>IF(Dades!E663="","",Dades!E663)</f>
        <v/>
      </c>
      <c r="F73" s="397">
        <f>(DSUM('1_Combustibles fósiles'!$E$17:$N$39,"emissions",'6.1_Resultados Illes Balears'!E$71:E73)/1000)-SUM(F$72:F72)</f>
        <v>0</v>
      </c>
      <c r="G73" s="397">
        <f>((DSUM('1_Combustibles fósiles'!$E$47:$U$67,"emissions1",'6.1_Resultados Illes Balears'!E$71:E73)+DSUM('1_Combustibles fósiles'!$E$47:$U$67,"emissions2",'6.1_Resultados Illes Balears'!E$71:E73))/1000)-SUM(G$72:G72)</f>
        <v>0</v>
      </c>
      <c r="H73" s="397">
        <f>(DSUM('2_Fluorados'!$E$11:$P$33,"emissions",'6.1_Resultados Illes Balears'!E$71:E73)/1000)-SUM(H$72:H72)</f>
        <v>0</v>
      </c>
      <c r="I73" s="503">
        <f>(DSUM('3_Emisiones proceso'!$E$13:$K$35,"emissions",'6.1_Resultados Illes Balears'!E$71:E73)/1000)-SUM(I$72:I72)</f>
        <v>0</v>
      </c>
      <c r="J73" s="503"/>
      <c r="K73" s="504">
        <f>SUM(F73:J73)</f>
        <v>0</v>
      </c>
      <c r="L73" s="504"/>
      <c r="M73" s="504"/>
      <c r="N73" s="503">
        <f>((DSUM('4.1_Electricidad Illes Balears'!$E$20:$J$42,"emisiones",'6.1_Resultados Illes Balears'!E$71:E73)+DSUM('4.1_Electricidad Illes Balears'!$E$50:$K$70,"emisiones",'6.1_Resultados Illes Balears'!E$71:E73))/1000)-SUM(N$72:N72)</f>
        <v>0</v>
      </c>
      <c r="O73" s="504"/>
      <c r="P73" s="504">
        <f>K73+N73</f>
        <v>0</v>
      </c>
      <c r="Q73" s="504"/>
      <c r="R73" s="504"/>
    </row>
    <row r="74" spans="1:21" x14ac:dyDescent="0.3">
      <c r="E74" s="195" t="str">
        <f>IF(Dades!E664="","",Dades!E664)</f>
        <v/>
      </c>
      <c r="F74" s="397">
        <f>(DSUM('1_Combustibles fósiles'!$E$17:$N$39,"emissions",'6.1_Resultados Illes Balears'!E$71:E74)/1000)-SUM(F$72:F73)</f>
        <v>0</v>
      </c>
      <c r="G74" s="397">
        <f>((DSUM('1_Combustibles fósiles'!$E$47:$U$67,"emissions1",'6.1_Resultados Illes Balears'!E$71:E74)+DSUM('1_Combustibles fósiles'!$E$47:$U$67,"emissions2",'6.1_Resultados Illes Balears'!E$71:E74))/1000)-SUM(G$72:G73)</f>
        <v>0</v>
      </c>
      <c r="H74" s="397">
        <f>(DSUM('2_Fluorados'!$E$11:$P$33,"emissions",'6.1_Resultados Illes Balears'!E$71:E74)/1000)-SUM(H$72:H73)</f>
        <v>0</v>
      </c>
      <c r="I74" s="503">
        <f>(DSUM('3_Emisiones proceso'!$E$13:$K$35,"emissions",'6.1_Resultados Illes Balears'!E$71:E74)/1000)-SUM(I$72:I73)</f>
        <v>0</v>
      </c>
      <c r="J74" s="503"/>
      <c r="K74" s="504">
        <f>SUM(F74:J74)</f>
        <v>0</v>
      </c>
      <c r="L74" s="504"/>
      <c r="M74" s="504"/>
      <c r="N74" s="503">
        <f>((DSUM('4.1_Electricidad Illes Balears'!$E$20:$J$42,"emisiones",'6.1_Resultados Illes Balears'!E$71:E74)+DSUM('4.1_Electricidad Illes Balears'!$E$50:$K$70,"emisiones",'6.1_Resultados Illes Balears'!E$71:E74))/1000)-SUM(N$72:N73)</f>
        <v>0</v>
      </c>
      <c r="O74" s="504"/>
      <c r="P74" s="504">
        <f>K74+N74</f>
        <v>0</v>
      </c>
      <c r="Q74" s="504"/>
      <c r="R74" s="504"/>
    </row>
    <row r="75" spans="1:21" x14ac:dyDescent="0.3">
      <c r="E75" s="195" t="str">
        <f>IF(Dades!E665="","",Dades!E665)</f>
        <v/>
      </c>
      <c r="F75" s="397">
        <f>(DSUM('1_Combustibles fósiles'!$E$17:$N$39,"emissions",'6.1_Resultados Illes Balears'!E$71:E75)/1000)-SUM(F$72:F74)</f>
        <v>0</v>
      </c>
      <c r="G75" s="397">
        <f>((DSUM('1_Combustibles fósiles'!$E$47:$U$67,"emissions1",'6.1_Resultados Illes Balears'!E$71:E75)+DSUM('1_Combustibles fósiles'!$E$47:$U$67,"emissions2",'6.1_Resultados Illes Balears'!E$71:E75))/1000)-SUM(G$72:G74)</f>
        <v>0</v>
      </c>
      <c r="H75" s="397">
        <f>(DSUM('2_Fluorados'!$E$11:$P$33,"emissions",'6.1_Resultados Illes Balears'!E$71:E75)/1000)-SUM(H$72:H74)</f>
        <v>0</v>
      </c>
      <c r="I75" s="503">
        <f>(DSUM('3_Emisiones proceso'!$E$13:$K$35,"emissions",'6.1_Resultados Illes Balears'!E$71:E75)/1000)-SUM(I$72:I74)</f>
        <v>0</v>
      </c>
      <c r="J75" s="503"/>
      <c r="K75" s="504">
        <f t="shared" ref="K75:K138" si="0">SUM(F75:J75)</f>
        <v>0</v>
      </c>
      <c r="L75" s="504"/>
      <c r="M75" s="504"/>
      <c r="N75" s="503">
        <f>((DSUM('4.1_Electricidad Illes Balears'!$E$20:$J$42,"emisiones",'6.1_Resultados Illes Balears'!E$71:E75)+DSUM('4.1_Electricidad Illes Balears'!$E$50:$K$70,"emisiones",'6.1_Resultados Illes Balears'!E$71:E75))/1000)-SUM(N$72:N74)</f>
        <v>0</v>
      </c>
      <c r="O75" s="504"/>
      <c r="P75" s="504">
        <f t="shared" ref="P75:P138" si="1">K75+N75</f>
        <v>0</v>
      </c>
      <c r="Q75" s="504"/>
      <c r="R75" s="504"/>
    </row>
    <row r="76" spans="1:21" x14ac:dyDescent="0.3">
      <c r="E76" s="195" t="str">
        <f>IF(Dades!E666="","",Dades!E666)</f>
        <v/>
      </c>
      <c r="F76" s="397">
        <f>(DSUM('1_Combustibles fósiles'!$E$17:$N$39,"emissions",'6.1_Resultados Illes Balears'!E$71:E76)/1000)-SUM(F$72:F75)</f>
        <v>0</v>
      </c>
      <c r="G76" s="397">
        <f>((DSUM('1_Combustibles fósiles'!$E$47:$U$67,"emissions1",'6.1_Resultados Illes Balears'!E$71:E76)+DSUM('1_Combustibles fósiles'!$E$47:$U$67,"emissions2",'6.1_Resultados Illes Balears'!E$71:E76))/1000)-SUM(G$72:G75)</f>
        <v>0</v>
      </c>
      <c r="H76" s="397">
        <f>(DSUM('2_Fluorados'!$E$11:$P$33,"emissions",'6.1_Resultados Illes Balears'!E$71:E76)/1000)-SUM(H$72:H75)</f>
        <v>0</v>
      </c>
      <c r="I76" s="503">
        <f>(DSUM('3_Emisiones proceso'!$E$13:$K$35,"emissions",'6.1_Resultados Illes Balears'!E$71:E76)/1000)-SUM(I$72:I75)</f>
        <v>0</v>
      </c>
      <c r="J76" s="503"/>
      <c r="K76" s="504">
        <f t="shared" si="0"/>
        <v>0</v>
      </c>
      <c r="L76" s="504"/>
      <c r="M76" s="504"/>
      <c r="N76" s="503">
        <f>((DSUM('4.1_Electricidad Illes Balears'!$E$20:$J$42,"emisiones",'6.1_Resultados Illes Balears'!E$71:E76)+DSUM('4.1_Electricidad Illes Balears'!$E$50:$K$70,"emisiones",'6.1_Resultados Illes Balears'!E$71:E76))/1000)-SUM(N$72:N75)</f>
        <v>0</v>
      </c>
      <c r="O76" s="504"/>
      <c r="P76" s="504">
        <f t="shared" si="1"/>
        <v>0</v>
      </c>
      <c r="Q76" s="504"/>
      <c r="R76" s="504"/>
    </row>
    <row r="77" spans="1:21" x14ac:dyDescent="0.3">
      <c r="E77" s="195" t="str">
        <f>IF(Dades!E667="","",Dades!E667)</f>
        <v/>
      </c>
      <c r="F77" s="397">
        <f>(DSUM('1_Combustibles fósiles'!$E$17:$N$39,"emissions",'6.1_Resultados Illes Balears'!E$71:E77)/1000)-SUM(F$72:F76)</f>
        <v>0</v>
      </c>
      <c r="G77" s="397">
        <f>((DSUM('1_Combustibles fósiles'!$E$47:$U$67,"emissions1",'6.1_Resultados Illes Balears'!E$71:E77)+DSUM('1_Combustibles fósiles'!$E$47:$U$67,"emissions2",'6.1_Resultados Illes Balears'!E$71:E77))/1000)-SUM(G$72:G76)</f>
        <v>0</v>
      </c>
      <c r="H77" s="397">
        <f>(DSUM('2_Fluorados'!$E$11:$P$33,"emissions",'6.1_Resultados Illes Balears'!E$71:E77)/1000)-SUM(H$72:H76)</f>
        <v>0</v>
      </c>
      <c r="I77" s="503">
        <f>(DSUM('3_Emisiones proceso'!$E$13:$K$35,"emissions",'6.1_Resultados Illes Balears'!E$71:E77)/1000)-SUM(I$72:I76)</f>
        <v>0</v>
      </c>
      <c r="J77" s="503"/>
      <c r="K77" s="504">
        <f t="shared" si="0"/>
        <v>0</v>
      </c>
      <c r="L77" s="504"/>
      <c r="M77" s="504"/>
      <c r="N77" s="503">
        <f>((DSUM('4.1_Electricidad Illes Balears'!$E$20:$J$42,"emisiones",'6.1_Resultados Illes Balears'!E$71:E77)+DSUM('4.1_Electricidad Illes Balears'!$E$50:$K$70,"emisiones",'6.1_Resultados Illes Balears'!E$71:E77))/1000)-SUM(N$72:N76)</f>
        <v>0</v>
      </c>
      <c r="O77" s="504"/>
      <c r="P77" s="504">
        <f t="shared" si="1"/>
        <v>0</v>
      </c>
      <c r="Q77" s="504"/>
      <c r="R77" s="504"/>
    </row>
    <row r="78" spans="1:21" x14ac:dyDescent="0.3">
      <c r="E78" s="195" t="str">
        <f>IF(Dades!E668="","",Dades!E668)</f>
        <v/>
      </c>
      <c r="F78" s="397">
        <f>(DSUM('1_Combustibles fósiles'!$E$17:$N$39,"emissions",'6.1_Resultados Illes Balears'!E$71:E78)/1000)-SUM(F$72:F77)</f>
        <v>0</v>
      </c>
      <c r="G78" s="397">
        <f>((DSUM('1_Combustibles fósiles'!$E$47:$U$67,"emissions1",'6.1_Resultados Illes Balears'!E$71:E78)+DSUM('1_Combustibles fósiles'!$E$47:$U$67,"emissions2",'6.1_Resultados Illes Balears'!E$71:E78))/1000)-SUM(G$72:G77)</f>
        <v>0</v>
      </c>
      <c r="H78" s="397">
        <f>(DSUM('2_Fluorados'!$E$11:$P$33,"emissions",'6.1_Resultados Illes Balears'!E$71:E78)/1000)-SUM(H$72:H77)</f>
        <v>0</v>
      </c>
      <c r="I78" s="503">
        <f>(DSUM('3_Emisiones proceso'!$E$13:$K$35,"emissions",'6.1_Resultados Illes Balears'!E$71:E78)/1000)-SUM(I$72:I77)</f>
        <v>0</v>
      </c>
      <c r="J78" s="503"/>
      <c r="K78" s="504">
        <f t="shared" si="0"/>
        <v>0</v>
      </c>
      <c r="L78" s="504"/>
      <c r="M78" s="504"/>
      <c r="N78" s="503">
        <f>((DSUM('4.1_Electricidad Illes Balears'!$E$20:$J$42,"emisiones",'6.1_Resultados Illes Balears'!E$71:E78)+DSUM('4.1_Electricidad Illes Balears'!$E$50:$K$70,"emisiones",'6.1_Resultados Illes Balears'!E$71:E78))/1000)-SUM(N$72:N77)</f>
        <v>0</v>
      </c>
      <c r="O78" s="504"/>
      <c r="P78" s="504">
        <f t="shared" si="1"/>
        <v>0</v>
      </c>
      <c r="Q78" s="504"/>
      <c r="R78" s="504"/>
    </row>
    <row r="79" spans="1:21" x14ac:dyDescent="0.3">
      <c r="E79" s="195" t="str">
        <f>IF(Dades!E669="","",Dades!E669)</f>
        <v/>
      </c>
      <c r="F79" s="397">
        <f>(DSUM('1_Combustibles fósiles'!$E$17:$N$39,"emissions",'6.1_Resultados Illes Balears'!E$71:E79)/1000)-SUM(F$72:F78)</f>
        <v>0</v>
      </c>
      <c r="G79" s="397">
        <f>((DSUM('1_Combustibles fósiles'!$E$47:$U$67,"emissions1",'6.1_Resultados Illes Balears'!E$71:E79)+DSUM('1_Combustibles fósiles'!$E$47:$U$67,"emissions2",'6.1_Resultados Illes Balears'!E$71:E79))/1000)-SUM(G$72:G78)</f>
        <v>0</v>
      </c>
      <c r="H79" s="397">
        <f>(DSUM('2_Fluorados'!$E$11:$P$33,"emissions",'6.1_Resultados Illes Balears'!E$71:E79)/1000)-SUM(H$72:H78)</f>
        <v>0</v>
      </c>
      <c r="I79" s="503">
        <f>(DSUM('3_Emisiones proceso'!$E$13:$K$35,"emissions",'6.1_Resultados Illes Balears'!E$71:E79)/1000)-SUM(I$72:I78)</f>
        <v>0</v>
      </c>
      <c r="J79" s="503"/>
      <c r="K79" s="504">
        <f t="shared" si="0"/>
        <v>0</v>
      </c>
      <c r="L79" s="504"/>
      <c r="M79" s="504"/>
      <c r="N79" s="503">
        <f>((DSUM('4.1_Electricidad Illes Balears'!$E$20:$J$42,"emisiones",'6.1_Resultados Illes Balears'!E$71:E79)+DSUM('4.1_Electricidad Illes Balears'!$E$50:$K$70,"emisiones",'6.1_Resultados Illes Balears'!E$71:E79))/1000)-SUM(N$72:N78)</f>
        <v>0</v>
      </c>
      <c r="O79" s="504"/>
      <c r="P79" s="504">
        <f t="shared" si="1"/>
        <v>0</v>
      </c>
      <c r="Q79" s="504"/>
      <c r="R79" s="504"/>
    </row>
    <row r="80" spans="1:21" x14ac:dyDescent="0.3">
      <c r="E80" s="195" t="str">
        <f>IF(Dades!E670="","",Dades!E670)</f>
        <v/>
      </c>
      <c r="F80" s="397">
        <f>(DSUM('1_Combustibles fósiles'!$E$17:$N$39,"emissions",'6.1_Resultados Illes Balears'!E$71:E80)/1000)-SUM(F$72:F79)</f>
        <v>0</v>
      </c>
      <c r="G80" s="397">
        <f>((DSUM('1_Combustibles fósiles'!$E$47:$U$67,"emissions1",'6.1_Resultados Illes Balears'!E$71:E80)+DSUM('1_Combustibles fósiles'!$E$47:$U$67,"emissions2",'6.1_Resultados Illes Balears'!E$71:E80))/1000)-SUM(G$72:G79)</f>
        <v>0</v>
      </c>
      <c r="H80" s="397">
        <f>(DSUM('2_Fluorados'!$E$11:$P$33,"emissions",'6.1_Resultados Illes Balears'!E$71:E80)/1000)-SUM(H$72:H79)</f>
        <v>0</v>
      </c>
      <c r="I80" s="503">
        <f>(DSUM('3_Emisiones proceso'!$E$13:$K$35,"emissions",'6.1_Resultados Illes Balears'!E$71:E80)/1000)-SUM(I$72:I79)</f>
        <v>0</v>
      </c>
      <c r="J80" s="503"/>
      <c r="K80" s="504">
        <f t="shared" si="0"/>
        <v>0</v>
      </c>
      <c r="L80" s="504"/>
      <c r="M80" s="504"/>
      <c r="N80" s="503">
        <f>((DSUM('4.1_Electricidad Illes Balears'!$E$20:$J$42,"emisiones",'6.1_Resultados Illes Balears'!E$71:E80)+DSUM('4.1_Electricidad Illes Balears'!$E$50:$K$70,"emisiones",'6.1_Resultados Illes Balears'!E$71:E80))/1000)-SUM(N$72:N79)</f>
        <v>0</v>
      </c>
      <c r="O80" s="504"/>
      <c r="P80" s="504">
        <f t="shared" si="1"/>
        <v>0</v>
      </c>
      <c r="Q80" s="504"/>
      <c r="R80" s="504"/>
    </row>
    <row r="81" spans="5:18" x14ac:dyDescent="0.3">
      <c r="E81" s="195" t="str">
        <f>IF(Dades!E671="","",Dades!E671)</f>
        <v/>
      </c>
      <c r="F81" s="397">
        <f>(DSUM('1_Combustibles fósiles'!$E$17:$N$39,"emissions",'6.1_Resultados Illes Balears'!E$71:E81)/1000)-SUM(F$72:F80)</f>
        <v>0</v>
      </c>
      <c r="G81" s="397">
        <f>((DSUM('1_Combustibles fósiles'!$E$47:$U$67,"emissions1",'6.1_Resultados Illes Balears'!E$71:E81)+DSUM('1_Combustibles fósiles'!$E$47:$U$67,"emissions2",'6.1_Resultados Illes Balears'!E$71:E81))/1000)-SUM(G$72:G80)</f>
        <v>0</v>
      </c>
      <c r="H81" s="397">
        <f>(DSUM('2_Fluorados'!$E$11:$P$33,"emissions",'6.1_Resultados Illes Balears'!E$71:E81)/1000)-SUM(H$72:H80)</f>
        <v>0</v>
      </c>
      <c r="I81" s="503">
        <f>(DSUM('3_Emisiones proceso'!$E$13:$K$35,"emissions",'6.1_Resultados Illes Balears'!E$71:E81)/1000)-SUM(I$72:I80)</f>
        <v>0</v>
      </c>
      <c r="J81" s="503"/>
      <c r="K81" s="504">
        <f t="shared" si="0"/>
        <v>0</v>
      </c>
      <c r="L81" s="504"/>
      <c r="M81" s="504"/>
      <c r="N81" s="503">
        <f>((DSUM('4.1_Electricidad Illes Balears'!$E$20:$J$42,"emisiones",'6.1_Resultados Illes Balears'!E$71:E81)+DSUM('4.1_Electricidad Illes Balears'!$E$50:$K$70,"emisiones",'6.1_Resultados Illes Balears'!E$71:E81))/1000)-SUM(N$72:N80)</f>
        <v>0</v>
      </c>
      <c r="O81" s="504"/>
      <c r="P81" s="504">
        <f t="shared" si="1"/>
        <v>0</v>
      </c>
      <c r="Q81" s="504"/>
      <c r="R81" s="504"/>
    </row>
    <row r="82" spans="5:18" x14ac:dyDescent="0.3">
      <c r="E82" s="195" t="str">
        <f>IF(Dades!E672="","",Dades!E672)</f>
        <v/>
      </c>
      <c r="F82" s="397">
        <f>(DSUM('1_Combustibles fósiles'!$E$17:$N$39,"emissions",'6.1_Resultados Illes Balears'!E$71:E82)/1000)-SUM(F$72:F81)</f>
        <v>0</v>
      </c>
      <c r="G82" s="397">
        <f>((DSUM('1_Combustibles fósiles'!$E$47:$U$67,"emissions1",'6.1_Resultados Illes Balears'!E$71:E82)+DSUM('1_Combustibles fósiles'!$E$47:$U$67,"emissions2",'6.1_Resultados Illes Balears'!E$71:E82))/1000)-SUM(G$72:G81)</f>
        <v>0</v>
      </c>
      <c r="H82" s="397">
        <f>(DSUM('2_Fluorados'!$E$11:$P$33,"emissions",'6.1_Resultados Illes Balears'!E$71:E82)/1000)-SUM(H$72:H81)</f>
        <v>0</v>
      </c>
      <c r="I82" s="503">
        <f>(DSUM('3_Emisiones proceso'!$E$13:$K$35,"emissions",'6.1_Resultados Illes Balears'!E$71:E82)/1000)-SUM(I$72:I81)</f>
        <v>0</v>
      </c>
      <c r="J82" s="503"/>
      <c r="K82" s="504">
        <f t="shared" si="0"/>
        <v>0</v>
      </c>
      <c r="L82" s="504"/>
      <c r="M82" s="504"/>
      <c r="N82" s="503">
        <f>((DSUM('4.1_Electricidad Illes Balears'!$E$20:$J$42,"emisiones",'6.1_Resultados Illes Balears'!E$71:E82)+DSUM('4.1_Electricidad Illes Balears'!$E$50:$K$70,"emisiones",'6.1_Resultados Illes Balears'!E$71:E82))/1000)-SUM(N$72:N81)</f>
        <v>0</v>
      </c>
      <c r="O82" s="504"/>
      <c r="P82" s="504">
        <f t="shared" si="1"/>
        <v>0</v>
      </c>
      <c r="Q82" s="504"/>
      <c r="R82" s="504"/>
    </row>
    <row r="83" spans="5:18" x14ac:dyDescent="0.3">
      <c r="E83" s="195" t="str">
        <f>IF(Dades!E673="","",Dades!E673)</f>
        <v/>
      </c>
      <c r="F83" s="397">
        <f>(DSUM('1_Combustibles fósiles'!$E$17:$N$39,"emissions",'6.1_Resultados Illes Balears'!E$71:E83)/1000)-SUM(F$72:F82)</f>
        <v>0</v>
      </c>
      <c r="G83" s="397">
        <f>((DSUM('1_Combustibles fósiles'!$E$47:$U$67,"emissions1",'6.1_Resultados Illes Balears'!E$71:E83)+DSUM('1_Combustibles fósiles'!$E$47:$U$67,"emissions2",'6.1_Resultados Illes Balears'!E$71:E83))/1000)-SUM(G$72:G82)</f>
        <v>0</v>
      </c>
      <c r="H83" s="397">
        <f>(DSUM('2_Fluorados'!$E$11:$P$33,"emissions",'6.1_Resultados Illes Balears'!E$71:E83)/1000)-SUM(H$72:H82)</f>
        <v>0</v>
      </c>
      <c r="I83" s="503">
        <f>(DSUM('3_Emisiones proceso'!$E$13:$K$35,"emissions",'6.1_Resultados Illes Balears'!E$71:E83)/1000)-SUM(I$72:I82)</f>
        <v>0</v>
      </c>
      <c r="J83" s="503"/>
      <c r="K83" s="504">
        <f t="shared" si="0"/>
        <v>0</v>
      </c>
      <c r="L83" s="504"/>
      <c r="M83" s="504"/>
      <c r="N83" s="503">
        <f>((DSUM('4.1_Electricidad Illes Balears'!$E$20:$J$42,"emisiones",'6.1_Resultados Illes Balears'!E$71:E83)+DSUM('4.1_Electricidad Illes Balears'!$E$50:$K$70,"emisiones",'6.1_Resultados Illes Balears'!E$71:E83))/1000)-SUM(N$72:N82)</f>
        <v>0</v>
      </c>
      <c r="O83" s="504"/>
      <c r="P83" s="504">
        <f t="shared" si="1"/>
        <v>0</v>
      </c>
      <c r="Q83" s="504"/>
      <c r="R83" s="504"/>
    </row>
    <row r="84" spans="5:18" x14ac:dyDescent="0.3">
      <c r="E84" s="195" t="str">
        <f>IF(Dades!E674="","",Dades!E674)</f>
        <v/>
      </c>
      <c r="F84" s="397">
        <f>(DSUM('1_Combustibles fósiles'!$E$17:$N$39,"emissions",'6.1_Resultados Illes Balears'!E$71:E84)/1000)-SUM(F$72:F83)</f>
        <v>0</v>
      </c>
      <c r="G84" s="397">
        <f>((DSUM('1_Combustibles fósiles'!$E$47:$U$67,"emissions1",'6.1_Resultados Illes Balears'!E$71:E84)+DSUM('1_Combustibles fósiles'!$E$47:$U$67,"emissions2",'6.1_Resultados Illes Balears'!E$71:E84))/1000)-SUM(G$72:G83)</f>
        <v>0</v>
      </c>
      <c r="H84" s="397">
        <f>(DSUM('2_Fluorados'!$E$11:$P$33,"emissions",'6.1_Resultados Illes Balears'!E$71:E84)/1000)-SUM(H$72:H83)</f>
        <v>0</v>
      </c>
      <c r="I84" s="503">
        <f>(DSUM('3_Emisiones proceso'!$E$13:$K$35,"emissions",'6.1_Resultados Illes Balears'!E$71:E84)/1000)-SUM(I$72:I83)</f>
        <v>0</v>
      </c>
      <c r="J84" s="503"/>
      <c r="K84" s="504">
        <f t="shared" si="0"/>
        <v>0</v>
      </c>
      <c r="L84" s="504"/>
      <c r="M84" s="504"/>
      <c r="N84" s="503">
        <f>((DSUM('4.1_Electricidad Illes Balears'!$E$20:$J$42,"emisiones",'6.1_Resultados Illes Balears'!E$71:E84)+DSUM('4.1_Electricidad Illes Balears'!$E$50:$K$70,"emisiones",'6.1_Resultados Illes Balears'!E$71:E84))/1000)-SUM(N$72:N83)</f>
        <v>0</v>
      </c>
      <c r="O84" s="504"/>
      <c r="P84" s="504">
        <f t="shared" si="1"/>
        <v>0</v>
      </c>
      <c r="Q84" s="504"/>
      <c r="R84" s="504"/>
    </row>
    <row r="85" spans="5:18" x14ac:dyDescent="0.3">
      <c r="E85" s="195" t="str">
        <f>IF(Dades!E675="","",Dades!E675)</f>
        <v/>
      </c>
      <c r="F85" s="397">
        <f>(DSUM('1_Combustibles fósiles'!$E$17:$N$39,"emissions",'6.1_Resultados Illes Balears'!E$71:E85)/1000)-SUM(F$72:F84)</f>
        <v>0</v>
      </c>
      <c r="G85" s="397">
        <f>((DSUM('1_Combustibles fósiles'!$E$47:$U$67,"emissions1",'6.1_Resultados Illes Balears'!E$71:E85)+DSUM('1_Combustibles fósiles'!$E$47:$U$67,"emissions2",'6.1_Resultados Illes Balears'!E$71:E85))/1000)-SUM(G$72:G84)</f>
        <v>0</v>
      </c>
      <c r="H85" s="397">
        <f>(DSUM('2_Fluorados'!$E$11:$P$33,"emissions",'6.1_Resultados Illes Balears'!E$71:E85)/1000)-SUM(H$72:H84)</f>
        <v>0</v>
      </c>
      <c r="I85" s="503">
        <f>(DSUM('3_Emisiones proceso'!$E$13:$K$35,"emissions",'6.1_Resultados Illes Balears'!E$71:E85)/1000)-SUM(I$72:I84)</f>
        <v>0</v>
      </c>
      <c r="J85" s="503"/>
      <c r="K85" s="504">
        <f t="shared" si="0"/>
        <v>0</v>
      </c>
      <c r="L85" s="504"/>
      <c r="M85" s="504"/>
      <c r="N85" s="503">
        <f>((DSUM('4.1_Electricidad Illes Balears'!$E$20:$J$42,"emisiones",'6.1_Resultados Illes Balears'!E$71:E85)+DSUM('4.1_Electricidad Illes Balears'!$E$50:$K$70,"emisiones",'6.1_Resultados Illes Balears'!E$71:E85))/1000)-SUM(N$72:N84)</f>
        <v>0</v>
      </c>
      <c r="O85" s="504"/>
      <c r="P85" s="504">
        <f t="shared" si="1"/>
        <v>0</v>
      </c>
      <c r="Q85" s="504"/>
      <c r="R85" s="504"/>
    </row>
    <row r="86" spans="5:18" x14ac:dyDescent="0.3">
      <c r="E86" s="195" t="str">
        <f>IF(Dades!E676="","",Dades!E676)</f>
        <v/>
      </c>
      <c r="F86" s="397">
        <f>(DSUM('1_Combustibles fósiles'!$E$17:$N$39,"emissions",'6.1_Resultados Illes Balears'!E$71:E86)/1000)-SUM(F$72:F85)</f>
        <v>0</v>
      </c>
      <c r="G86" s="397">
        <f>((DSUM('1_Combustibles fósiles'!$E$47:$U$67,"emissions1",'6.1_Resultados Illes Balears'!E$71:E86)+DSUM('1_Combustibles fósiles'!$E$47:$U$67,"emissions2",'6.1_Resultados Illes Balears'!E$71:E86))/1000)-SUM(G$72:G85)</f>
        <v>0</v>
      </c>
      <c r="H86" s="397">
        <f>(DSUM('2_Fluorados'!$E$11:$P$33,"emissions",'6.1_Resultados Illes Balears'!E$71:E86)/1000)-SUM(H$72:H85)</f>
        <v>0</v>
      </c>
      <c r="I86" s="503">
        <f>(DSUM('3_Emisiones proceso'!$E$13:$K$35,"emissions",'6.1_Resultados Illes Balears'!E$71:E86)/1000)-SUM(I$72:I85)</f>
        <v>0</v>
      </c>
      <c r="J86" s="503"/>
      <c r="K86" s="504">
        <f t="shared" si="0"/>
        <v>0</v>
      </c>
      <c r="L86" s="504"/>
      <c r="M86" s="504"/>
      <c r="N86" s="503">
        <f>((DSUM('4.1_Electricidad Illes Balears'!$E$20:$J$42,"emisiones",'6.1_Resultados Illes Balears'!E$71:E86)+DSUM('4.1_Electricidad Illes Balears'!$E$50:$K$70,"emisiones",'6.1_Resultados Illes Balears'!E$71:E86))/1000)-SUM(N$72:N85)</f>
        <v>0</v>
      </c>
      <c r="O86" s="504"/>
      <c r="P86" s="504">
        <f t="shared" si="1"/>
        <v>0</v>
      </c>
      <c r="Q86" s="504"/>
      <c r="R86" s="504"/>
    </row>
    <row r="87" spans="5:18" x14ac:dyDescent="0.3">
      <c r="E87" s="195" t="str">
        <f>IF(Dades!E677="","",Dades!E677)</f>
        <v/>
      </c>
      <c r="F87" s="397">
        <f>(DSUM('1_Combustibles fósiles'!$E$17:$N$39,"emissions",'6.1_Resultados Illes Balears'!E$71:E87)/1000)-SUM(F$72:F86)</f>
        <v>0</v>
      </c>
      <c r="G87" s="397">
        <f>((DSUM('1_Combustibles fósiles'!$E$47:$U$67,"emissions1",'6.1_Resultados Illes Balears'!E$71:E87)+DSUM('1_Combustibles fósiles'!$E$47:$U$67,"emissions2",'6.1_Resultados Illes Balears'!E$71:E87))/1000)-SUM(G$72:G86)</f>
        <v>0</v>
      </c>
      <c r="H87" s="397">
        <f>(DSUM('2_Fluorados'!$E$11:$P$33,"emissions",'6.1_Resultados Illes Balears'!E$71:E87)/1000)-SUM(H$72:H86)</f>
        <v>0</v>
      </c>
      <c r="I87" s="503">
        <f>(DSUM('3_Emisiones proceso'!$E$13:$K$35,"emissions",'6.1_Resultados Illes Balears'!E$71:E87)/1000)-SUM(I$72:I86)</f>
        <v>0</v>
      </c>
      <c r="J87" s="503"/>
      <c r="K87" s="504">
        <f t="shared" si="0"/>
        <v>0</v>
      </c>
      <c r="L87" s="504"/>
      <c r="M87" s="504"/>
      <c r="N87" s="503">
        <f>((DSUM('4.1_Electricidad Illes Balears'!$E$20:$J$42,"emisiones",'6.1_Resultados Illes Balears'!E$71:E87)+DSUM('4.1_Electricidad Illes Balears'!$E$50:$K$70,"emisiones",'6.1_Resultados Illes Balears'!E$71:E87))/1000)-SUM(N$72:N86)</f>
        <v>0</v>
      </c>
      <c r="O87" s="504"/>
      <c r="P87" s="504">
        <f t="shared" si="1"/>
        <v>0</v>
      </c>
      <c r="Q87" s="504"/>
      <c r="R87" s="504"/>
    </row>
    <row r="88" spans="5:18" x14ac:dyDescent="0.3">
      <c r="E88" s="195" t="str">
        <f>IF(Dades!E678="","",Dades!E678)</f>
        <v/>
      </c>
      <c r="F88" s="397">
        <f>(DSUM('1_Combustibles fósiles'!$E$17:$N$39,"emissions",'6.1_Resultados Illes Balears'!E$71:E88)/1000)-SUM(F$72:F87)</f>
        <v>0</v>
      </c>
      <c r="G88" s="397">
        <f>((DSUM('1_Combustibles fósiles'!$E$47:$U$67,"emissions1",'6.1_Resultados Illes Balears'!E$71:E88)+DSUM('1_Combustibles fósiles'!$E$47:$U$67,"emissions2",'6.1_Resultados Illes Balears'!E$71:E88))/1000)-SUM(G$72:G87)</f>
        <v>0</v>
      </c>
      <c r="H88" s="397">
        <f>(DSUM('2_Fluorados'!$E$11:$P$33,"emissions",'6.1_Resultados Illes Balears'!E$71:E88)/1000)-SUM(H$72:H87)</f>
        <v>0</v>
      </c>
      <c r="I88" s="503">
        <f>(DSUM('3_Emisiones proceso'!$E$13:$K$35,"emissions",'6.1_Resultados Illes Balears'!E$71:E88)/1000)-SUM(I$72:I87)</f>
        <v>0</v>
      </c>
      <c r="J88" s="503"/>
      <c r="K88" s="504">
        <f t="shared" si="0"/>
        <v>0</v>
      </c>
      <c r="L88" s="504"/>
      <c r="M88" s="504"/>
      <c r="N88" s="503">
        <f>((DSUM('4.1_Electricidad Illes Balears'!$E$20:$J$42,"emisiones",'6.1_Resultados Illes Balears'!E$71:E88)+DSUM('4.1_Electricidad Illes Balears'!$E$50:$K$70,"emisiones",'6.1_Resultados Illes Balears'!E$71:E88))/1000)-SUM(N$72:N87)</f>
        <v>0</v>
      </c>
      <c r="O88" s="504"/>
      <c r="P88" s="504">
        <f t="shared" si="1"/>
        <v>0</v>
      </c>
      <c r="Q88" s="504"/>
      <c r="R88" s="504"/>
    </row>
    <row r="89" spans="5:18" x14ac:dyDescent="0.3">
      <c r="E89" s="195" t="str">
        <f>IF(Dades!E679="","",Dades!E679)</f>
        <v/>
      </c>
      <c r="F89" s="397">
        <f>(DSUM('1_Combustibles fósiles'!$E$17:$N$39,"emissions",'6.1_Resultados Illes Balears'!E$71:E89)/1000)-SUM(F$72:F88)</f>
        <v>0</v>
      </c>
      <c r="G89" s="397">
        <f>((DSUM('1_Combustibles fósiles'!$E$47:$U$67,"emissions1",'6.1_Resultados Illes Balears'!E$71:E89)+DSUM('1_Combustibles fósiles'!$E$47:$U$67,"emissions2",'6.1_Resultados Illes Balears'!E$71:E89))/1000)-SUM(G$72:G88)</f>
        <v>0</v>
      </c>
      <c r="H89" s="397">
        <f>(DSUM('2_Fluorados'!$E$11:$P$33,"emissions",'6.1_Resultados Illes Balears'!E$71:E89)/1000)-SUM(H$72:H88)</f>
        <v>0</v>
      </c>
      <c r="I89" s="503">
        <f>(DSUM('3_Emisiones proceso'!$E$13:$K$35,"emissions",'6.1_Resultados Illes Balears'!E$71:E89)/1000)-SUM(I$72:I88)</f>
        <v>0</v>
      </c>
      <c r="J89" s="503"/>
      <c r="K89" s="504">
        <f t="shared" si="0"/>
        <v>0</v>
      </c>
      <c r="L89" s="504"/>
      <c r="M89" s="504"/>
      <c r="N89" s="503">
        <f>((DSUM('4.1_Electricidad Illes Balears'!$E$20:$J$42,"emisiones",'6.1_Resultados Illes Balears'!E$71:E89)+DSUM('4.1_Electricidad Illes Balears'!$E$50:$K$70,"emisiones",'6.1_Resultados Illes Balears'!E$71:E89))/1000)-SUM(N$72:N88)</f>
        <v>0</v>
      </c>
      <c r="O89" s="504"/>
      <c r="P89" s="504">
        <f t="shared" si="1"/>
        <v>0</v>
      </c>
      <c r="Q89" s="504"/>
      <c r="R89" s="504"/>
    </row>
    <row r="90" spans="5:18" x14ac:dyDescent="0.3">
      <c r="E90" s="195" t="str">
        <f>IF(Dades!E680="","",Dades!E680)</f>
        <v/>
      </c>
      <c r="F90" s="397">
        <f>(DSUM('1_Combustibles fósiles'!$E$17:$N$39,"emissions",'6.1_Resultados Illes Balears'!E$71:E90)/1000)-SUM(F$72:F89)</f>
        <v>0</v>
      </c>
      <c r="G90" s="397">
        <f>((DSUM('1_Combustibles fósiles'!$E$47:$U$67,"emissions1",'6.1_Resultados Illes Balears'!E$71:E90)+DSUM('1_Combustibles fósiles'!$E$47:$U$67,"emissions2",'6.1_Resultados Illes Balears'!E$71:E90))/1000)-SUM(G$72:G89)</f>
        <v>0</v>
      </c>
      <c r="H90" s="397">
        <f>(DSUM('2_Fluorados'!$E$11:$P$33,"emissions",'6.1_Resultados Illes Balears'!E$71:E90)/1000)-SUM(H$72:H89)</f>
        <v>0</v>
      </c>
      <c r="I90" s="503">
        <f>(DSUM('3_Emisiones proceso'!$E$13:$K$35,"emissions",'6.1_Resultados Illes Balears'!E$71:E90)/1000)-SUM(I$72:I89)</f>
        <v>0</v>
      </c>
      <c r="J90" s="503"/>
      <c r="K90" s="504">
        <f t="shared" si="0"/>
        <v>0</v>
      </c>
      <c r="L90" s="504"/>
      <c r="M90" s="504"/>
      <c r="N90" s="503">
        <f>((DSUM('4.1_Electricidad Illes Balears'!$E$20:$J$42,"emisiones",'6.1_Resultados Illes Balears'!E$71:E90)+DSUM('4.1_Electricidad Illes Balears'!$E$50:$K$70,"emisiones",'6.1_Resultados Illes Balears'!E$71:E90))/1000)-SUM(N$72:N89)</f>
        <v>0</v>
      </c>
      <c r="O90" s="504"/>
      <c r="P90" s="504">
        <f t="shared" si="1"/>
        <v>0</v>
      </c>
      <c r="Q90" s="504"/>
      <c r="R90" s="504"/>
    </row>
    <row r="91" spans="5:18" x14ac:dyDescent="0.3">
      <c r="E91" s="195" t="str">
        <f>IF(Dades!E681="","",Dades!E681)</f>
        <v/>
      </c>
      <c r="F91" s="397">
        <f>(DSUM('1_Combustibles fósiles'!$E$17:$N$39,"emissions",'6.1_Resultados Illes Balears'!E$71:E91)/1000)-SUM(F$72:F90)</f>
        <v>0</v>
      </c>
      <c r="G91" s="397">
        <f>((DSUM('1_Combustibles fósiles'!$E$47:$U$67,"emissions1",'6.1_Resultados Illes Balears'!E$71:E91)+DSUM('1_Combustibles fósiles'!$E$47:$U$67,"emissions2",'6.1_Resultados Illes Balears'!E$71:E91))/1000)-SUM(G$72:G90)</f>
        <v>0</v>
      </c>
      <c r="H91" s="397">
        <f>(DSUM('2_Fluorados'!$E$11:$P$33,"emissions",'6.1_Resultados Illes Balears'!E$71:E91)/1000)-SUM(H$72:H90)</f>
        <v>0</v>
      </c>
      <c r="I91" s="503">
        <f>(DSUM('3_Emisiones proceso'!$E$13:$K$35,"emissions",'6.1_Resultados Illes Balears'!E$71:E91)/1000)-SUM(I$72:I90)</f>
        <v>0</v>
      </c>
      <c r="J91" s="503"/>
      <c r="K91" s="504">
        <f t="shared" si="0"/>
        <v>0</v>
      </c>
      <c r="L91" s="504"/>
      <c r="M91" s="504"/>
      <c r="N91" s="503">
        <f>((DSUM('4.1_Electricidad Illes Balears'!$E$20:$J$42,"emisiones",'6.1_Resultados Illes Balears'!E$71:E91)+DSUM('4.1_Electricidad Illes Balears'!$E$50:$K$70,"emisiones",'6.1_Resultados Illes Balears'!E$71:E91))/1000)-SUM(N$72:N90)</f>
        <v>0</v>
      </c>
      <c r="O91" s="504"/>
      <c r="P91" s="504">
        <f t="shared" si="1"/>
        <v>0</v>
      </c>
      <c r="Q91" s="504"/>
      <c r="R91" s="504"/>
    </row>
    <row r="92" spans="5:18" x14ac:dyDescent="0.3">
      <c r="E92" s="195" t="str">
        <f>IF(Dades!E682="","",Dades!E682)</f>
        <v/>
      </c>
      <c r="F92" s="397">
        <f>(DSUM('1_Combustibles fósiles'!$E$17:$N$39,"emissions",'6.1_Resultados Illes Balears'!E$71:E92)/1000)-SUM(F$72:F91)</f>
        <v>0</v>
      </c>
      <c r="G92" s="397">
        <f>((DSUM('1_Combustibles fósiles'!$E$47:$U$67,"emissions1",'6.1_Resultados Illes Balears'!E$71:E92)+DSUM('1_Combustibles fósiles'!$E$47:$U$67,"emissions2",'6.1_Resultados Illes Balears'!E$71:E92))/1000)-SUM(G$72:G91)</f>
        <v>0</v>
      </c>
      <c r="H92" s="397">
        <f>(DSUM('2_Fluorados'!$E$11:$P$33,"emissions",'6.1_Resultados Illes Balears'!E$71:E92)/1000)-SUM(H$72:H91)</f>
        <v>0</v>
      </c>
      <c r="I92" s="503">
        <f>(DSUM('3_Emisiones proceso'!$E$13:$K$35,"emissions",'6.1_Resultados Illes Balears'!E$71:E92)/1000)-SUM(I$72:I91)</f>
        <v>0</v>
      </c>
      <c r="J92" s="503"/>
      <c r="K92" s="504">
        <f t="shared" si="0"/>
        <v>0</v>
      </c>
      <c r="L92" s="504"/>
      <c r="M92" s="504"/>
      <c r="N92" s="503">
        <f>((DSUM('4.1_Electricidad Illes Balears'!$E$20:$J$42,"emisiones",'6.1_Resultados Illes Balears'!E$71:E92)+DSUM('4.1_Electricidad Illes Balears'!$E$50:$K$70,"emisiones",'6.1_Resultados Illes Balears'!E$71:E92))/1000)-SUM(N$72:N91)</f>
        <v>0</v>
      </c>
      <c r="O92" s="504"/>
      <c r="P92" s="504">
        <f t="shared" si="1"/>
        <v>0</v>
      </c>
      <c r="Q92" s="504"/>
      <c r="R92" s="504"/>
    </row>
    <row r="93" spans="5:18" x14ac:dyDescent="0.3">
      <c r="E93" s="195" t="str">
        <f>IF(Dades!E683="","",Dades!E683)</f>
        <v/>
      </c>
      <c r="F93" s="397">
        <f>(DSUM('1_Combustibles fósiles'!$E$17:$N$39,"emissions",'6.1_Resultados Illes Balears'!E$71:E93)/1000)-SUM(F$72:F92)</f>
        <v>0</v>
      </c>
      <c r="G93" s="397">
        <f>((DSUM('1_Combustibles fósiles'!$E$47:$U$67,"emissions1",'6.1_Resultados Illes Balears'!E$71:E93)+DSUM('1_Combustibles fósiles'!$E$47:$U$67,"emissions2",'6.1_Resultados Illes Balears'!E$71:E93))/1000)-SUM(G$72:G92)</f>
        <v>0</v>
      </c>
      <c r="H93" s="397">
        <f>(DSUM('2_Fluorados'!$E$11:$P$33,"emissions",'6.1_Resultados Illes Balears'!E$71:E93)/1000)-SUM(H$72:H92)</f>
        <v>0</v>
      </c>
      <c r="I93" s="503">
        <f>(DSUM('3_Emisiones proceso'!$E$13:$K$35,"emissions",'6.1_Resultados Illes Balears'!E$71:E93)/1000)-SUM(I$72:I92)</f>
        <v>0</v>
      </c>
      <c r="J93" s="503"/>
      <c r="K93" s="504">
        <f t="shared" si="0"/>
        <v>0</v>
      </c>
      <c r="L93" s="504"/>
      <c r="M93" s="504"/>
      <c r="N93" s="503">
        <f>((DSUM('4.1_Electricidad Illes Balears'!$E$20:$J$42,"emisiones",'6.1_Resultados Illes Balears'!E$71:E93)+DSUM('4.1_Electricidad Illes Balears'!$E$50:$K$70,"emisiones",'6.1_Resultados Illes Balears'!E$71:E93))/1000)-SUM(N$72:N92)</f>
        <v>0</v>
      </c>
      <c r="O93" s="504"/>
      <c r="P93" s="504">
        <f t="shared" si="1"/>
        <v>0</v>
      </c>
      <c r="Q93" s="504"/>
      <c r="R93" s="504"/>
    </row>
    <row r="94" spans="5:18" x14ac:dyDescent="0.3">
      <c r="E94" s="195" t="str">
        <f>IF(Dades!E684="","",Dades!E684)</f>
        <v/>
      </c>
      <c r="F94" s="397">
        <f>(DSUM('1_Combustibles fósiles'!$E$17:$N$39,"emissions",'6.1_Resultados Illes Balears'!E$71:E94)/1000)-SUM(F$72:F93)</f>
        <v>0</v>
      </c>
      <c r="G94" s="397">
        <f>((DSUM('1_Combustibles fósiles'!$E$47:$U$67,"emissions1",'6.1_Resultados Illes Balears'!E$71:E94)+DSUM('1_Combustibles fósiles'!$E$47:$U$67,"emissions2",'6.1_Resultados Illes Balears'!E$71:E94))/1000)-SUM(G$72:G93)</f>
        <v>0</v>
      </c>
      <c r="H94" s="397">
        <f>(DSUM('2_Fluorados'!$E$11:$P$33,"emissions",'6.1_Resultados Illes Balears'!E$71:E94)/1000)-SUM(H$72:H93)</f>
        <v>0</v>
      </c>
      <c r="I94" s="503">
        <f>(DSUM('3_Emisiones proceso'!$E$13:$K$35,"emissions",'6.1_Resultados Illes Balears'!E$71:E94)/1000)-SUM(I$72:I93)</f>
        <v>0</v>
      </c>
      <c r="J94" s="503"/>
      <c r="K94" s="504">
        <f t="shared" si="0"/>
        <v>0</v>
      </c>
      <c r="L94" s="504"/>
      <c r="M94" s="504"/>
      <c r="N94" s="503">
        <f>((DSUM('4.1_Electricidad Illes Balears'!$E$20:$J$42,"emisiones",'6.1_Resultados Illes Balears'!E$71:E94)+DSUM('4.1_Electricidad Illes Balears'!$E$50:$K$70,"emisiones",'6.1_Resultados Illes Balears'!E$71:E94))/1000)-SUM(N$72:N93)</f>
        <v>0</v>
      </c>
      <c r="O94" s="504"/>
      <c r="P94" s="504">
        <f t="shared" si="1"/>
        <v>0</v>
      </c>
      <c r="Q94" s="504"/>
      <c r="R94" s="504"/>
    </row>
    <row r="95" spans="5:18" x14ac:dyDescent="0.3">
      <c r="E95" s="195" t="str">
        <f>IF(Dades!E685="","",Dades!E685)</f>
        <v/>
      </c>
      <c r="F95" s="397">
        <f>(DSUM('1_Combustibles fósiles'!$E$17:$N$39,"emissions",'6.1_Resultados Illes Balears'!E$71:E95)/1000)-SUM(F$72:F94)</f>
        <v>0</v>
      </c>
      <c r="G95" s="397">
        <f>((DSUM('1_Combustibles fósiles'!$E$47:$U$67,"emissions1",'6.1_Resultados Illes Balears'!E$71:E95)+DSUM('1_Combustibles fósiles'!$E$47:$U$67,"emissions2",'6.1_Resultados Illes Balears'!E$71:E95))/1000)-SUM(G$72:G94)</f>
        <v>0</v>
      </c>
      <c r="H95" s="397">
        <f>(DSUM('2_Fluorados'!$E$11:$P$33,"emissions",'6.1_Resultados Illes Balears'!E$71:E95)/1000)-SUM(H$72:H94)</f>
        <v>0</v>
      </c>
      <c r="I95" s="503">
        <f>(DSUM('3_Emisiones proceso'!$E$13:$K$35,"emissions",'6.1_Resultados Illes Balears'!E$71:E95)/1000)-SUM(I$72:I94)</f>
        <v>0</v>
      </c>
      <c r="J95" s="503"/>
      <c r="K95" s="504">
        <f t="shared" si="0"/>
        <v>0</v>
      </c>
      <c r="L95" s="504"/>
      <c r="M95" s="504"/>
      <c r="N95" s="503">
        <f>((DSUM('4.1_Electricidad Illes Balears'!$E$20:$J$42,"emisiones",'6.1_Resultados Illes Balears'!E$71:E95)+DSUM('4.1_Electricidad Illes Balears'!$E$50:$K$70,"emisiones",'6.1_Resultados Illes Balears'!E$71:E95))/1000)-SUM(N$72:N94)</f>
        <v>0</v>
      </c>
      <c r="O95" s="504"/>
      <c r="P95" s="504">
        <f t="shared" si="1"/>
        <v>0</v>
      </c>
      <c r="Q95" s="504"/>
      <c r="R95" s="504"/>
    </row>
    <row r="96" spans="5:18" x14ac:dyDescent="0.3">
      <c r="E96" s="195" t="str">
        <f>IF(Dades!E686="","",Dades!E686)</f>
        <v/>
      </c>
      <c r="F96" s="397">
        <f>(DSUM('1_Combustibles fósiles'!$E$17:$N$39,"emissions",'6.1_Resultados Illes Balears'!E$71:E96)/1000)-SUM(F$72:F95)</f>
        <v>0</v>
      </c>
      <c r="G96" s="397">
        <f>((DSUM('1_Combustibles fósiles'!$E$47:$U$67,"emissions1",'6.1_Resultados Illes Balears'!E$71:E96)+DSUM('1_Combustibles fósiles'!$E$47:$U$67,"emissions2",'6.1_Resultados Illes Balears'!E$71:E96))/1000)-SUM(G$72:G95)</f>
        <v>0</v>
      </c>
      <c r="H96" s="397">
        <f>(DSUM('2_Fluorados'!$E$11:$P$33,"emissions",'6.1_Resultados Illes Balears'!E$71:E96)/1000)-SUM(H$72:H95)</f>
        <v>0</v>
      </c>
      <c r="I96" s="503">
        <f>(DSUM('3_Emisiones proceso'!$E$13:$K$35,"emissions",'6.1_Resultados Illes Balears'!E$71:E96)/1000)-SUM(I$72:I95)</f>
        <v>0</v>
      </c>
      <c r="J96" s="503"/>
      <c r="K96" s="504">
        <f t="shared" si="0"/>
        <v>0</v>
      </c>
      <c r="L96" s="504"/>
      <c r="M96" s="504"/>
      <c r="N96" s="503">
        <f>((DSUM('4.1_Electricidad Illes Balears'!$E$20:$J$42,"emisiones",'6.1_Resultados Illes Balears'!E$71:E96)+DSUM('4.1_Electricidad Illes Balears'!$E$50:$K$70,"emisiones",'6.1_Resultados Illes Balears'!E$71:E96))/1000)-SUM(N$72:N95)</f>
        <v>0</v>
      </c>
      <c r="O96" s="504"/>
      <c r="P96" s="504">
        <f t="shared" si="1"/>
        <v>0</v>
      </c>
      <c r="Q96" s="504"/>
      <c r="R96" s="504"/>
    </row>
    <row r="97" spans="5:18" x14ac:dyDescent="0.3">
      <c r="E97" s="195" t="str">
        <f>IF(Dades!E687="","",Dades!E687)</f>
        <v/>
      </c>
      <c r="F97" s="397">
        <f>(DSUM('1_Combustibles fósiles'!$E$17:$N$39,"emissions",'6.1_Resultados Illes Balears'!E$71:E97)/1000)-SUM(F$72:F96)</f>
        <v>0</v>
      </c>
      <c r="G97" s="397">
        <f>((DSUM('1_Combustibles fósiles'!$E$47:$U$67,"emissions1",'6.1_Resultados Illes Balears'!E$71:E97)+DSUM('1_Combustibles fósiles'!$E$47:$U$67,"emissions2",'6.1_Resultados Illes Balears'!E$71:E97))/1000)-SUM(G$72:G96)</f>
        <v>0</v>
      </c>
      <c r="H97" s="397">
        <f>(DSUM('2_Fluorados'!$E$11:$P$33,"emissions",'6.1_Resultados Illes Balears'!E$71:E97)/1000)-SUM(H$72:H96)</f>
        <v>0</v>
      </c>
      <c r="I97" s="503">
        <f>(DSUM('3_Emisiones proceso'!$E$13:$K$35,"emissions",'6.1_Resultados Illes Balears'!E$71:E97)/1000)-SUM(I$72:I96)</f>
        <v>0</v>
      </c>
      <c r="J97" s="503"/>
      <c r="K97" s="504">
        <f t="shared" si="0"/>
        <v>0</v>
      </c>
      <c r="L97" s="504"/>
      <c r="M97" s="504"/>
      <c r="N97" s="503">
        <f>((DSUM('4.1_Electricidad Illes Balears'!$E$20:$J$42,"emisiones",'6.1_Resultados Illes Balears'!E$71:E97)+DSUM('4.1_Electricidad Illes Balears'!$E$50:$K$70,"emisiones",'6.1_Resultados Illes Balears'!E$71:E97))/1000)-SUM(N$72:N96)</f>
        <v>0</v>
      </c>
      <c r="O97" s="504"/>
      <c r="P97" s="504">
        <f t="shared" si="1"/>
        <v>0</v>
      </c>
      <c r="Q97" s="504"/>
      <c r="R97" s="504"/>
    </row>
    <row r="98" spans="5:18" x14ac:dyDescent="0.3">
      <c r="E98" s="195" t="str">
        <f>IF(Dades!E688="","",Dades!E688)</f>
        <v/>
      </c>
      <c r="F98" s="397">
        <f>(DSUM('1_Combustibles fósiles'!$E$17:$N$39,"emissions",'6.1_Resultados Illes Balears'!E$71:E98)/1000)-SUM(F$72:F97)</f>
        <v>0</v>
      </c>
      <c r="G98" s="397">
        <f>((DSUM('1_Combustibles fósiles'!$E$47:$U$67,"emissions1",'6.1_Resultados Illes Balears'!E$71:E98)+DSUM('1_Combustibles fósiles'!$E$47:$U$67,"emissions2",'6.1_Resultados Illes Balears'!E$71:E98))/1000)-SUM(G$72:G97)</f>
        <v>0</v>
      </c>
      <c r="H98" s="397">
        <f>(DSUM('2_Fluorados'!$E$11:$P$33,"emissions",'6.1_Resultados Illes Balears'!E$71:E98)/1000)-SUM(H$72:H97)</f>
        <v>0</v>
      </c>
      <c r="I98" s="503">
        <f>(DSUM('3_Emisiones proceso'!$E$13:$K$35,"emissions",'6.1_Resultados Illes Balears'!E$71:E98)/1000)-SUM(I$72:I97)</f>
        <v>0</v>
      </c>
      <c r="J98" s="503"/>
      <c r="K98" s="504">
        <f t="shared" si="0"/>
        <v>0</v>
      </c>
      <c r="L98" s="504"/>
      <c r="M98" s="504"/>
      <c r="N98" s="503">
        <f>((DSUM('4.1_Electricidad Illes Balears'!$E$20:$J$42,"emisiones",'6.1_Resultados Illes Balears'!E$71:E98)+DSUM('4.1_Electricidad Illes Balears'!$E$50:$K$70,"emisiones",'6.1_Resultados Illes Balears'!E$71:E98))/1000)-SUM(N$72:N97)</f>
        <v>0</v>
      </c>
      <c r="O98" s="504"/>
      <c r="P98" s="504">
        <f t="shared" si="1"/>
        <v>0</v>
      </c>
      <c r="Q98" s="504"/>
      <c r="R98" s="504"/>
    </row>
    <row r="99" spans="5:18" x14ac:dyDescent="0.3">
      <c r="E99" s="195" t="str">
        <f>IF(Dades!E689="","",Dades!E689)</f>
        <v/>
      </c>
      <c r="F99" s="397">
        <f>(DSUM('1_Combustibles fósiles'!$E$17:$N$39,"emissions",'6.1_Resultados Illes Balears'!E$71:E99)/1000)-SUM(F$72:F98)</f>
        <v>0</v>
      </c>
      <c r="G99" s="397">
        <f>((DSUM('1_Combustibles fósiles'!$E$47:$U$67,"emissions1",'6.1_Resultados Illes Balears'!E$71:E99)+DSUM('1_Combustibles fósiles'!$E$47:$U$67,"emissions2",'6.1_Resultados Illes Balears'!E$71:E99))/1000)-SUM(G$72:G98)</f>
        <v>0</v>
      </c>
      <c r="H99" s="397">
        <f>(DSUM('2_Fluorados'!$E$11:$P$33,"emissions",'6.1_Resultados Illes Balears'!E$71:E99)/1000)-SUM(H$72:H98)</f>
        <v>0</v>
      </c>
      <c r="I99" s="503">
        <f>(DSUM('3_Emisiones proceso'!$E$13:$K$35,"emissions",'6.1_Resultados Illes Balears'!E$71:E99)/1000)-SUM(I$72:I98)</f>
        <v>0</v>
      </c>
      <c r="J99" s="503"/>
      <c r="K99" s="504">
        <f t="shared" si="0"/>
        <v>0</v>
      </c>
      <c r="L99" s="504"/>
      <c r="M99" s="504"/>
      <c r="N99" s="503">
        <f>((DSUM('4.1_Electricidad Illes Balears'!$E$20:$J$42,"emisiones",'6.1_Resultados Illes Balears'!E$71:E99)+DSUM('4.1_Electricidad Illes Balears'!$E$50:$K$70,"emisiones",'6.1_Resultados Illes Balears'!E$71:E99))/1000)-SUM(N$72:N98)</f>
        <v>0</v>
      </c>
      <c r="O99" s="504"/>
      <c r="P99" s="504">
        <f t="shared" si="1"/>
        <v>0</v>
      </c>
      <c r="Q99" s="504"/>
      <c r="R99" s="504"/>
    </row>
    <row r="100" spans="5:18" x14ac:dyDescent="0.3">
      <c r="E100" s="195" t="str">
        <f>IF(Dades!E690="","",Dades!E690)</f>
        <v/>
      </c>
      <c r="F100" s="397">
        <f>(DSUM('1_Combustibles fósiles'!$E$17:$N$39,"emissions",'6.1_Resultados Illes Balears'!E$71:E100)/1000)-SUM(F$72:F99)</f>
        <v>0</v>
      </c>
      <c r="G100" s="397">
        <f>((DSUM('1_Combustibles fósiles'!$E$47:$U$67,"emissions1",'6.1_Resultados Illes Balears'!E$71:E100)+DSUM('1_Combustibles fósiles'!$E$47:$U$67,"emissions2",'6.1_Resultados Illes Balears'!E$71:E100))/1000)-SUM(G$72:G99)</f>
        <v>0</v>
      </c>
      <c r="H100" s="397">
        <f>(DSUM('2_Fluorados'!$E$11:$P$33,"emissions",'6.1_Resultados Illes Balears'!E$71:E100)/1000)-SUM(H$72:H99)</f>
        <v>0</v>
      </c>
      <c r="I100" s="503">
        <f>(DSUM('3_Emisiones proceso'!$E$13:$K$35,"emissions",'6.1_Resultados Illes Balears'!E$71:E100)/1000)-SUM(I$72:I99)</f>
        <v>0</v>
      </c>
      <c r="J100" s="503"/>
      <c r="K100" s="504">
        <f t="shared" si="0"/>
        <v>0</v>
      </c>
      <c r="L100" s="504"/>
      <c r="M100" s="504"/>
      <c r="N100" s="503">
        <f>((DSUM('4.1_Electricidad Illes Balears'!$E$20:$J$42,"emisiones",'6.1_Resultados Illes Balears'!E$71:E100)+DSUM('4.1_Electricidad Illes Balears'!$E$50:$K$70,"emisiones",'6.1_Resultados Illes Balears'!E$71:E100))/1000)-SUM(N$72:N99)</f>
        <v>0</v>
      </c>
      <c r="O100" s="504"/>
      <c r="P100" s="504">
        <f t="shared" si="1"/>
        <v>0</v>
      </c>
      <c r="Q100" s="504"/>
      <c r="R100" s="504"/>
    </row>
    <row r="101" spans="5:18" x14ac:dyDescent="0.3">
      <c r="E101" s="195" t="str">
        <f>IF(Dades!E691="","",Dades!E691)</f>
        <v/>
      </c>
      <c r="F101" s="397">
        <f>(DSUM('1_Combustibles fósiles'!$E$17:$N$39,"emissions",'6.1_Resultados Illes Balears'!E$71:E101)/1000)-SUM(F$72:F100)</f>
        <v>0</v>
      </c>
      <c r="G101" s="397">
        <f>((DSUM('1_Combustibles fósiles'!$E$47:$U$67,"emissions1",'6.1_Resultados Illes Balears'!E$71:E101)+DSUM('1_Combustibles fósiles'!$E$47:$U$67,"emissions2",'6.1_Resultados Illes Balears'!E$71:E101))/1000)-SUM(G$72:G100)</f>
        <v>0</v>
      </c>
      <c r="H101" s="397">
        <f>(DSUM('2_Fluorados'!$E$11:$P$33,"emissions",'6.1_Resultados Illes Balears'!E$71:E101)/1000)-SUM(H$72:H100)</f>
        <v>0</v>
      </c>
      <c r="I101" s="503">
        <f>(DSUM('3_Emisiones proceso'!$E$13:$K$35,"emissions",'6.1_Resultados Illes Balears'!E$71:E101)/1000)-SUM(I$72:I100)</f>
        <v>0</v>
      </c>
      <c r="J101" s="503"/>
      <c r="K101" s="504">
        <f t="shared" si="0"/>
        <v>0</v>
      </c>
      <c r="L101" s="504"/>
      <c r="M101" s="504"/>
      <c r="N101" s="503">
        <f>((DSUM('4.1_Electricidad Illes Balears'!$E$20:$J$42,"emisiones",'6.1_Resultados Illes Balears'!E$71:E101)+DSUM('4.1_Electricidad Illes Balears'!$E$50:$K$70,"emisiones",'6.1_Resultados Illes Balears'!E$71:E101))/1000)-SUM(N$72:N100)</f>
        <v>0</v>
      </c>
      <c r="O101" s="504"/>
      <c r="P101" s="504">
        <f t="shared" si="1"/>
        <v>0</v>
      </c>
      <c r="Q101" s="504"/>
      <c r="R101" s="504"/>
    </row>
    <row r="102" spans="5:18" x14ac:dyDescent="0.3">
      <c r="E102" s="195" t="str">
        <f>IF(Dades!E692="","",Dades!E692)</f>
        <v/>
      </c>
      <c r="F102" s="397">
        <f>(DSUM('1_Combustibles fósiles'!$E$17:$N$39,"emissions",'6.1_Resultados Illes Balears'!E$71:E102)/1000)-SUM(F$72:F101)</f>
        <v>0</v>
      </c>
      <c r="G102" s="397">
        <f>((DSUM('1_Combustibles fósiles'!$E$47:$U$67,"emissions1",'6.1_Resultados Illes Balears'!E$71:E102)+DSUM('1_Combustibles fósiles'!$E$47:$U$67,"emissions2",'6.1_Resultados Illes Balears'!E$71:E102))/1000)-SUM(G$72:G101)</f>
        <v>0</v>
      </c>
      <c r="H102" s="397">
        <f>(DSUM('2_Fluorados'!$E$11:$P$33,"emissions",'6.1_Resultados Illes Balears'!E$71:E102)/1000)-SUM(H$72:H101)</f>
        <v>0</v>
      </c>
      <c r="I102" s="503">
        <f>(DSUM('3_Emisiones proceso'!$E$13:$K$35,"emissions",'6.1_Resultados Illes Balears'!E$71:E102)/1000)-SUM(I$72:I101)</f>
        <v>0</v>
      </c>
      <c r="J102" s="503"/>
      <c r="K102" s="504">
        <f t="shared" si="0"/>
        <v>0</v>
      </c>
      <c r="L102" s="504"/>
      <c r="M102" s="504"/>
      <c r="N102" s="503">
        <f>((DSUM('4.1_Electricidad Illes Balears'!$E$20:$J$42,"emisiones",'6.1_Resultados Illes Balears'!E$71:E102)+DSUM('4.1_Electricidad Illes Balears'!$E$50:$K$70,"emisiones",'6.1_Resultados Illes Balears'!E$71:E102))/1000)-SUM(N$72:N101)</f>
        <v>0</v>
      </c>
      <c r="O102" s="504"/>
      <c r="P102" s="504">
        <f t="shared" si="1"/>
        <v>0</v>
      </c>
      <c r="Q102" s="504"/>
      <c r="R102" s="504"/>
    </row>
    <row r="103" spans="5:18" x14ac:dyDescent="0.3">
      <c r="E103" s="195" t="str">
        <f>IF(Dades!E693="","",Dades!E693)</f>
        <v/>
      </c>
      <c r="F103" s="397">
        <f>(DSUM('1_Combustibles fósiles'!$E$17:$N$39,"emissions",'6.1_Resultados Illes Balears'!E$71:E103)/1000)-SUM(F$72:F102)</f>
        <v>0</v>
      </c>
      <c r="G103" s="397">
        <f>((DSUM('1_Combustibles fósiles'!$E$47:$U$67,"emissions1",'6.1_Resultados Illes Balears'!E$71:E103)+DSUM('1_Combustibles fósiles'!$E$47:$U$67,"emissions2",'6.1_Resultados Illes Balears'!E$71:E103))/1000)-SUM(G$72:G102)</f>
        <v>0</v>
      </c>
      <c r="H103" s="397">
        <f>(DSUM('2_Fluorados'!$E$11:$P$33,"emissions",'6.1_Resultados Illes Balears'!E$71:E103)/1000)-SUM(H$72:H102)</f>
        <v>0</v>
      </c>
      <c r="I103" s="503">
        <f>(DSUM('3_Emisiones proceso'!$E$13:$K$35,"emissions",'6.1_Resultados Illes Balears'!E$71:E103)/1000)-SUM(I$72:I102)</f>
        <v>0</v>
      </c>
      <c r="J103" s="503"/>
      <c r="K103" s="504">
        <f t="shared" si="0"/>
        <v>0</v>
      </c>
      <c r="L103" s="504"/>
      <c r="M103" s="504"/>
      <c r="N103" s="503">
        <f>((DSUM('4.1_Electricidad Illes Balears'!$E$20:$J$42,"emisiones",'6.1_Resultados Illes Balears'!E$71:E103)+DSUM('4.1_Electricidad Illes Balears'!$E$50:$K$70,"emisiones",'6.1_Resultados Illes Balears'!E$71:E103))/1000)-SUM(N$72:N102)</f>
        <v>0</v>
      </c>
      <c r="O103" s="504"/>
      <c r="P103" s="504">
        <f t="shared" si="1"/>
        <v>0</v>
      </c>
      <c r="Q103" s="504"/>
      <c r="R103" s="504"/>
    </row>
    <row r="104" spans="5:18" x14ac:dyDescent="0.3">
      <c r="E104" s="195" t="str">
        <f>IF(Dades!E694="","",Dades!E694)</f>
        <v/>
      </c>
      <c r="F104" s="397">
        <f>(DSUM('1_Combustibles fósiles'!$E$17:$N$39,"emissions",'6.1_Resultados Illes Balears'!E$71:E104)/1000)-SUM(F$72:F103)</f>
        <v>0</v>
      </c>
      <c r="G104" s="397">
        <f>((DSUM('1_Combustibles fósiles'!$E$47:$U$67,"emissions1",'6.1_Resultados Illes Balears'!E$71:E104)+DSUM('1_Combustibles fósiles'!$E$47:$U$67,"emissions2",'6.1_Resultados Illes Balears'!E$71:E104))/1000)-SUM(G$72:G103)</f>
        <v>0</v>
      </c>
      <c r="H104" s="397">
        <f>(DSUM('2_Fluorados'!$E$11:$P$33,"emissions",'6.1_Resultados Illes Balears'!E$71:E104)/1000)-SUM(H$72:H103)</f>
        <v>0</v>
      </c>
      <c r="I104" s="503">
        <f>(DSUM('3_Emisiones proceso'!$E$13:$K$35,"emissions",'6.1_Resultados Illes Balears'!E$71:E104)/1000)-SUM(I$72:I103)</f>
        <v>0</v>
      </c>
      <c r="J104" s="503"/>
      <c r="K104" s="504">
        <f t="shared" si="0"/>
        <v>0</v>
      </c>
      <c r="L104" s="504"/>
      <c r="M104" s="504"/>
      <c r="N104" s="503">
        <f>((DSUM('4.1_Electricidad Illes Balears'!$E$20:$J$42,"emisiones",'6.1_Resultados Illes Balears'!E$71:E104)+DSUM('4.1_Electricidad Illes Balears'!$E$50:$K$70,"emisiones",'6.1_Resultados Illes Balears'!E$71:E104))/1000)-SUM(N$72:N103)</f>
        <v>0</v>
      </c>
      <c r="O104" s="504"/>
      <c r="P104" s="504">
        <f t="shared" si="1"/>
        <v>0</v>
      </c>
      <c r="Q104" s="504"/>
      <c r="R104" s="504"/>
    </row>
    <row r="105" spans="5:18" x14ac:dyDescent="0.3">
      <c r="E105" s="195" t="str">
        <f>IF(Dades!E695="","",Dades!E695)</f>
        <v/>
      </c>
      <c r="F105" s="397">
        <f>(DSUM('1_Combustibles fósiles'!$E$17:$N$39,"emissions",'6.1_Resultados Illes Balears'!E$71:E105)/1000)-SUM(F$72:F104)</f>
        <v>0</v>
      </c>
      <c r="G105" s="397">
        <f>((DSUM('1_Combustibles fósiles'!$E$47:$U$67,"emissions1",'6.1_Resultados Illes Balears'!E$71:E105)+DSUM('1_Combustibles fósiles'!$E$47:$U$67,"emissions2",'6.1_Resultados Illes Balears'!E$71:E105))/1000)-SUM(G$72:G104)</f>
        <v>0</v>
      </c>
      <c r="H105" s="397">
        <f>(DSUM('2_Fluorados'!$E$11:$P$33,"emissions",'6.1_Resultados Illes Balears'!E$71:E105)/1000)-SUM(H$72:H104)</f>
        <v>0</v>
      </c>
      <c r="I105" s="503">
        <f>(DSUM('3_Emisiones proceso'!$E$13:$K$35,"emissions",'6.1_Resultados Illes Balears'!E$71:E105)/1000)-SUM(I$72:I104)</f>
        <v>0</v>
      </c>
      <c r="J105" s="503"/>
      <c r="K105" s="504">
        <f t="shared" si="0"/>
        <v>0</v>
      </c>
      <c r="L105" s="504"/>
      <c r="M105" s="504"/>
      <c r="N105" s="503">
        <f>((DSUM('4.1_Electricidad Illes Balears'!$E$20:$J$42,"emisiones",'6.1_Resultados Illes Balears'!E$71:E105)+DSUM('4.1_Electricidad Illes Balears'!$E$50:$K$70,"emisiones",'6.1_Resultados Illes Balears'!E$71:E105))/1000)-SUM(N$72:N104)</f>
        <v>0</v>
      </c>
      <c r="O105" s="504"/>
      <c r="P105" s="504">
        <f t="shared" si="1"/>
        <v>0</v>
      </c>
      <c r="Q105" s="504"/>
      <c r="R105" s="504"/>
    </row>
    <row r="106" spans="5:18" x14ac:dyDescent="0.3">
      <c r="E106" s="195" t="str">
        <f>IF(Dades!E696="","",Dades!E696)</f>
        <v/>
      </c>
      <c r="F106" s="397">
        <f>(DSUM('1_Combustibles fósiles'!$E$17:$N$39,"emissions",'6.1_Resultados Illes Balears'!E$71:E106)/1000)-SUM(F$72:F105)</f>
        <v>0</v>
      </c>
      <c r="G106" s="397">
        <f>((DSUM('1_Combustibles fósiles'!$E$47:$U$67,"emissions1",'6.1_Resultados Illes Balears'!E$71:E106)+DSUM('1_Combustibles fósiles'!$E$47:$U$67,"emissions2",'6.1_Resultados Illes Balears'!E$71:E106))/1000)-SUM(G$72:G105)</f>
        <v>0</v>
      </c>
      <c r="H106" s="397">
        <f>(DSUM('2_Fluorados'!$E$11:$P$33,"emissions",'6.1_Resultados Illes Balears'!E$71:E106)/1000)-SUM(H$72:H105)</f>
        <v>0</v>
      </c>
      <c r="I106" s="503">
        <f>(DSUM('3_Emisiones proceso'!$E$13:$K$35,"emissions",'6.1_Resultados Illes Balears'!E$71:E106)/1000)-SUM(I$72:I105)</f>
        <v>0</v>
      </c>
      <c r="J106" s="503"/>
      <c r="K106" s="504">
        <f t="shared" si="0"/>
        <v>0</v>
      </c>
      <c r="L106" s="504"/>
      <c r="M106" s="504"/>
      <c r="N106" s="503">
        <f>((DSUM('4.1_Electricidad Illes Balears'!$E$20:$J$42,"emisiones",'6.1_Resultados Illes Balears'!E$71:E106)+DSUM('4.1_Electricidad Illes Balears'!$E$50:$K$70,"emisiones",'6.1_Resultados Illes Balears'!E$71:E106))/1000)-SUM(N$72:N105)</f>
        <v>0</v>
      </c>
      <c r="O106" s="504"/>
      <c r="P106" s="504">
        <f t="shared" si="1"/>
        <v>0</v>
      </c>
      <c r="Q106" s="504"/>
      <c r="R106" s="504"/>
    </row>
    <row r="107" spans="5:18" x14ac:dyDescent="0.3">
      <c r="E107" s="195" t="str">
        <f>IF(Dades!E697="","",Dades!E697)</f>
        <v/>
      </c>
      <c r="F107" s="397">
        <f>(DSUM('1_Combustibles fósiles'!$E$17:$N$39,"emissions",'6.1_Resultados Illes Balears'!E$71:E107)/1000)-SUM(F$72:F106)</f>
        <v>0</v>
      </c>
      <c r="G107" s="397">
        <f>((DSUM('1_Combustibles fósiles'!$E$47:$U$67,"emissions1",'6.1_Resultados Illes Balears'!E$71:E107)+DSUM('1_Combustibles fósiles'!$E$47:$U$67,"emissions2",'6.1_Resultados Illes Balears'!E$71:E107))/1000)-SUM(G$72:G106)</f>
        <v>0</v>
      </c>
      <c r="H107" s="397">
        <f>(DSUM('2_Fluorados'!$E$11:$P$33,"emissions",'6.1_Resultados Illes Balears'!E$71:E107)/1000)-SUM(H$72:H106)</f>
        <v>0</v>
      </c>
      <c r="I107" s="503">
        <f>(DSUM('3_Emisiones proceso'!$E$13:$K$35,"emissions",'6.1_Resultados Illes Balears'!E$71:E107)/1000)-SUM(I$72:I106)</f>
        <v>0</v>
      </c>
      <c r="J107" s="503"/>
      <c r="K107" s="504">
        <f t="shared" si="0"/>
        <v>0</v>
      </c>
      <c r="L107" s="504"/>
      <c r="M107" s="504"/>
      <c r="N107" s="503">
        <f>((DSUM('4.1_Electricidad Illes Balears'!$E$20:$J$42,"emisiones",'6.1_Resultados Illes Balears'!E$71:E107)+DSUM('4.1_Electricidad Illes Balears'!$E$50:$K$70,"emisiones",'6.1_Resultados Illes Balears'!E$71:E107))/1000)-SUM(N$72:N106)</f>
        <v>0</v>
      </c>
      <c r="O107" s="504"/>
      <c r="P107" s="504">
        <f t="shared" si="1"/>
        <v>0</v>
      </c>
      <c r="Q107" s="504"/>
      <c r="R107" s="504"/>
    </row>
    <row r="108" spans="5:18" x14ac:dyDescent="0.3">
      <c r="E108" s="195" t="str">
        <f>IF(Dades!E698="","",Dades!E698)</f>
        <v/>
      </c>
      <c r="F108" s="397">
        <f>(DSUM('1_Combustibles fósiles'!$E$17:$N$39,"emissions",'6.1_Resultados Illes Balears'!E$71:E108)/1000)-SUM(F$72:F107)</f>
        <v>0</v>
      </c>
      <c r="G108" s="397">
        <f>((DSUM('1_Combustibles fósiles'!$E$47:$U$67,"emissions1",'6.1_Resultados Illes Balears'!E$71:E108)+DSUM('1_Combustibles fósiles'!$E$47:$U$67,"emissions2",'6.1_Resultados Illes Balears'!E$71:E108))/1000)-SUM(G$72:G107)</f>
        <v>0</v>
      </c>
      <c r="H108" s="397">
        <f>(DSUM('2_Fluorados'!$E$11:$P$33,"emissions",'6.1_Resultados Illes Balears'!E$71:E108)/1000)-SUM(H$72:H107)</f>
        <v>0</v>
      </c>
      <c r="I108" s="503">
        <f>(DSUM('3_Emisiones proceso'!$E$13:$K$35,"emissions",'6.1_Resultados Illes Balears'!E$71:E108)/1000)-SUM(I$72:I107)</f>
        <v>0</v>
      </c>
      <c r="J108" s="503"/>
      <c r="K108" s="504">
        <f t="shared" si="0"/>
        <v>0</v>
      </c>
      <c r="L108" s="504"/>
      <c r="M108" s="504"/>
      <c r="N108" s="503">
        <f>((DSUM('4.1_Electricidad Illes Balears'!$E$20:$J$42,"emisiones",'6.1_Resultados Illes Balears'!E$71:E108)+DSUM('4.1_Electricidad Illes Balears'!$E$50:$K$70,"emisiones",'6.1_Resultados Illes Balears'!E$71:E108))/1000)-SUM(N$72:N107)</f>
        <v>0</v>
      </c>
      <c r="O108" s="504"/>
      <c r="P108" s="504">
        <f t="shared" si="1"/>
        <v>0</v>
      </c>
      <c r="Q108" s="504"/>
      <c r="R108" s="504"/>
    </row>
    <row r="109" spans="5:18" x14ac:dyDescent="0.3">
      <c r="E109" s="195" t="str">
        <f>IF(Dades!E699="","",Dades!E699)</f>
        <v/>
      </c>
      <c r="F109" s="397">
        <f>(DSUM('1_Combustibles fósiles'!$E$17:$N$39,"emissions",'6.1_Resultados Illes Balears'!E$71:E109)/1000)-SUM(F$72:F108)</f>
        <v>0</v>
      </c>
      <c r="G109" s="397">
        <f>((DSUM('1_Combustibles fósiles'!$E$47:$U$67,"emissions1",'6.1_Resultados Illes Balears'!E$71:E109)+DSUM('1_Combustibles fósiles'!$E$47:$U$67,"emissions2",'6.1_Resultados Illes Balears'!E$71:E109))/1000)-SUM(G$72:G108)</f>
        <v>0</v>
      </c>
      <c r="H109" s="397">
        <f>(DSUM('2_Fluorados'!$E$11:$P$33,"emissions",'6.1_Resultados Illes Balears'!E$71:E109)/1000)-SUM(H$72:H108)</f>
        <v>0</v>
      </c>
      <c r="I109" s="503">
        <f>(DSUM('3_Emisiones proceso'!$E$13:$K$35,"emissions",'6.1_Resultados Illes Balears'!E$71:E109)/1000)-SUM(I$72:I108)</f>
        <v>0</v>
      </c>
      <c r="J109" s="503"/>
      <c r="K109" s="504">
        <f t="shared" si="0"/>
        <v>0</v>
      </c>
      <c r="L109" s="504"/>
      <c r="M109" s="504"/>
      <c r="N109" s="503">
        <f>((DSUM('4.1_Electricidad Illes Balears'!$E$20:$J$42,"emisiones",'6.1_Resultados Illes Balears'!E$71:E109)+DSUM('4.1_Electricidad Illes Balears'!$E$50:$K$70,"emisiones",'6.1_Resultados Illes Balears'!E$71:E109))/1000)-SUM(N$72:N108)</f>
        <v>0</v>
      </c>
      <c r="O109" s="504"/>
      <c r="P109" s="504">
        <f t="shared" si="1"/>
        <v>0</v>
      </c>
      <c r="Q109" s="504"/>
      <c r="R109" s="504"/>
    </row>
    <row r="110" spans="5:18" x14ac:dyDescent="0.3">
      <c r="E110" s="195" t="str">
        <f>IF(Dades!E700="","",Dades!E700)</f>
        <v/>
      </c>
      <c r="F110" s="397">
        <f>(DSUM('1_Combustibles fósiles'!$E$17:$N$39,"emissions",'6.1_Resultados Illes Balears'!E$71:E110)/1000)-SUM(F$72:F109)</f>
        <v>0</v>
      </c>
      <c r="G110" s="397">
        <f>((DSUM('1_Combustibles fósiles'!$E$47:$U$67,"emissions1",'6.1_Resultados Illes Balears'!E$71:E110)+DSUM('1_Combustibles fósiles'!$E$47:$U$67,"emissions2",'6.1_Resultados Illes Balears'!E$71:E110))/1000)-SUM(G$72:G109)</f>
        <v>0</v>
      </c>
      <c r="H110" s="397">
        <f>(DSUM('2_Fluorados'!$E$11:$P$33,"emissions",'6.1_Resultados Illes Balears'!E$71:E110)/1000)-SUM(H$72:H109)</f>
        <v>0</v>
      </c>
      <c r="I110" s="503">
        <f>(DSUM('3_Emisiones proceso'!$E$13:$K$35,"emissions",'6.1_Resultados Illes Balears'!E$71:E110)/1000)-SUM(I$72:I109)</f>
        <v>0</v>
      </c>
      <c r="J110" s="503"/>
      <c r="K110" s="504">
        <f t="shared" si="0"/>
        <v>0</v>
      </c>
      <c r="L110" s="504"/>
      <c r="M110" s="504"/>
      <c r="N110" s="503">
        <f>((DSUM('4.1_Electricidad Illes Balears'!$E$20:$J$42,"emisiones",'6.1_Resultados Illes Balears'!E$71:E110)+DSUM('4.1_Electricidad Illes Balears'!$E$50:$K$70,"emisiones",'6.1_Resultados Illes Balears'!E$71:E110))/1000)-SUM(N$72:N109)</f>
        <v>0</v>
      </c>
      <c r="O110" s="504"/>
      <c r="P110" s="504">
        <f t="shared" si="1"/>
        <v>0</v>
      </c>
      <c r="Q110" s="504"/>
      <c r="R110" s="504"/>
    </row>
    <row r="111" spans="5:18" x14ac:dyDescent="0.3">
      <c r="E111" s="195" t="str">
        <f>IF(Dades!E701="","",Dades!E701)</f>
        <v/>
      </c>
      <c r="F111" s="397">
        <f>(DSUM('1_Combustibles fósiles'!$E$17:$N$39,"emissions",'6.1_Resultados Illes Balears'!E$71:E111)/1000)-SUM(F$72:F110)</f>
        <v>0</v>
      </c>
      <c r="G111" s="397">
        <f>((DSUM('1_Combustibles fósiles'!$E$47:$U$67,"emissions1",'6.1_Resultados Illes Balears'!E$71:E111)+DSUM('1_Combustibles fósiles'!$E$47:$U$67,"emissions2",'6.1_Resultados Illes Balears'!E$71:E111))/1000)-SUM(G$72:G110)</f>
        <v>0</v>
      </c>
      <c r="H111" s="397">
        <f>(DSUM('2_Fluorados'!$E$11:$P$33,"emissions",'6.1_Resultados Illes Balears'!E$71:E111)/1000)-SUM(H$72:H110)</f>
        <v>0</v>
      </c>
      <c r="I111" s="503">
        <f>(DSUM('3_Emisiones proceso'!$E$13:$K$35,"emissions",'6.1_Resultados Illes Balears'!E$71:E111)/1000)-SUM(I$72:I110)</f>
        <v>0</v>
      </c>
      <c r="J111" s="503"/>
      <c r="K111" s="504">
        <f t="shared" si="0"/>
        <v>0</v>
      </c>
      <c r="L111" s="504"/>
      <c r="M111" s="504"/>
      <c r="N111" s="503">
        <f>((DSUM('4.1_Electricidad Illes Balears'!$E$20:$J$42,"emisiones",'6.1_Resultados Illes Balears'!E$71:E111)+DSUM('4.1_Electricidad Illes Balears'!$E$50:$K$70,"emisiones",'6.1_Resultados Illes Balears'!E$71:E111))/1000)-SUM(N$72:N110)</f>
        <v>0</v>
      </c>
      <c r="O111" s="504"/>
      <c r="P111" s="504">
        <f t="shared" si="1"/>
        <v>0</v>
      </c>
      <c r="Q111" s="504"/>
      <c r="R111" s="504"/>
    </row>
    <row r="112" spans="5:18" x14ac:dyDescent="0.3">
      <c r="E112" s="195" t="str">
        <f>IF(Dades!E702="","",Dades!E702)</f>
        <v/>
      </c>
      <c r="F112" s="397">
        <f>(DSUM('1_Combustibles fósiles'!$E$17:$N$39,"emissions",'6.1_Resultados Illes Balears'!E$71:E112)/1000)-SUM(F$72:F111)</f>
        <v>0</v>
      </c>
      <c r="G112" s="397">
        <f>((DSUM('1_Combustibles fósiles'!$E$47:$U$67,"emissions1",'6.1_Resultados Illes Balears'!E$71:E112)+DSUM('1_Combustibles fósiles'!$E$47:$U$67,"emissions2",'6.1_Resultados Illes Balears'!E$71:E112))/1000)-SUM(G$72:G111)</f>
        <v>0</v>
      </c>
      <c r="H112" s="397">
        <f>(DSUM('2_Fluorados'!$E$11:$P$33,"emissions",'6.1_Resultados Illes Balears'!E$71:E112)/1000)-SUM(H$72:H111)</f>
        <v>0</v>
      </c>
      <c r="I112" s="503">
        <f>(DSUM('3_Emisiones proceso'!$E$13:$K$35,"emissions",'6.1_Resultados Illes Balears'!E$71:E112)/1000)-SUM(I$72:I111)</f>
        <v>0</v>
      </c>
      <c r="J112" s="503"/>
      <c r="K112" s="504">
        <f t="shared" si="0"/>
        <v>0</v>
      </c>
      <c r="L112" s="504"/>
      <c r="M112" s="504"/>
      <c r="N112" s="503">
        <f>((DSUM('4.1_Electricidad Illes Balears'!$E$20:$J$42,"emisiones",'6.1_Resultados Illes Balears'!E$71:E112)+DSUM('4.1_Electricidad Illes Balears'!$E$50:$K$70,"emisiones",'6.1_Resultados Illes Balears'!E$71:E112))/1000)-SUM(N$72:N111)</f>
        <v>0</v>
      </c>
      <c r="O112" s="504"/>
      <c r="P112" s="504">
        <f t="shared" si="1"/>
        <v>0</v>
      </c>
      <c r="Q112" s="504"/>
      <c r="R112" s="504"/>
    </row>
    <row r="113" spans="5:18" x14ac:dyDescent="0.3">
      <c r="E113" s="195" t="str">
        <f>IF(Dades!E703="","",Dades!E703)</f>
        <v/>
      </c>
      <c r="F113" s="397">
        <f>(DSUM('1_Combustibles fósiles'!$E$17:$N$39,"emissions",'6.1_Resultados Illes Balears'!E$71:E113)/1000)-SUM(F$72:F112)</f>
        <v>0</v>
      </c>
      <c r="G113" s="397">
        <f>((DSUM('1_Combustibles fósiles'!$E$47:$U$67,"emissions1",'6.1_Resultados Illes Balears'!E$71:E113)+DSUM('1_Combustibles fósiles'!$E$47:$U$67,"emissions2",'6.1_Resultados Illes Balears'!E$71:E113))/1000)-SUM(G$72:G112)</f>
        <v>0</v>
      </c>
      <c r="H113" s="397">
        <f>(DSUM('2_Fluorados'!$E$11:$P$33,"emissions",'6.1_Resultados Illes Balears'!E$71:E113)/1000)-SUM(H$72:H112)</f>
        <v>0</v>
      </c>
      <c r="I113" s="503">
        <f>(DSUM('3_Emisiones proceso'!$E$13:$K$35,"emissions",'6.1_Resultados Illes Balears'!E$71:E113)/1000)-SUM(I$72:I112)</f>
        <v>0</v>
      </c>
      <c r="J113" s="503"/>
      <c r="K113" s="504">
        <f t="shared" si="0"/>
        <v>0</v>
      </c>
      <c r="L113" s="504"/>
      <c r="M113" s="504"/>
      <c r="N113" s="503">
        <f>((DSUM('4.1_Electricidad Illes Balears'!$E$20:$J$42,"emisiones",'6.1_Resultados Illes Balears'!E$71:E113)+DSUM('4.1_Electricidad Illes Balears'!$E$50:$K$70,"emisiones",'6.1_Resultados Illes Balears'!E$71:E113))/1000)-SUM(N$72:N112)</f>
        <v>0</v>
      </c>
      <c r="O113" s="504"/>
      <c r="P113" s="504">
        <f t="shared" si="1"/>
        <v>0</v>
      </c>
      <c r="Q113" s="504"/>
      <c r="R113" s="504"/>
    </row>
    <row r="114" spans="5:18" x14ac:dyDescent="0.3">
      <c r="E114" s="195" t="str">
        <f>IF(Dades!E704="","",Dades!E704)</f>
        <v/>
      </c>
      <c r="F114" s="397">
        <f>(DSUM('1_Combustibles fósiles'!$E$17:$N$39,"emissions",'6.1_Resultados Illes Balears'!E$71:E114)/1000)-SUM(F$72:F113)</f>
        <v>0</v>
      </c>
      <c r="G114" s="397">
        <f>((DSUM('1_Combustibles fósiles'!$E$47:$U$67,"emissions1",'6.1_Resultados Illes Balears'!E$71:E114)+DSUM('1_Combustibles fósiles'!$E$47:$U$67,"emissions2",'6.1_Resultados Illes Balears'!E$71:E114))/1000)-SUM(G$72:G113)</f>
        <v>0</v>
      </c>
      <c r="H114" s="397">
        <f>(DSUM('2_Fluorados'!$E$11:$P$33,"emissions",'6.1_Resultados Illes Balears'!E$71:E114)/1000)-SUM(H$72:H113)</f>
        <v>0</v>
      </c>
      <c r="I114" s="503">
        <f>(DSUM('3_Emisiones proceso'!$E$13:$K$35,"emissions",'6.1_Resultados Illes Balears'!E$71:E114)/1000)-SUM(I$72:I113)</f>
        <v>0</v>
      </c>
      <c r="J114" s="503"/>
      <c r="K114" s="504">
        <f t="shared" si="0"/>
        <v>0</v>
      </c>
      <c r="L114" s="504"/>
      <c r="M114" s="504"/>
      <c r="N114" s="503">
        <f>((DSUM('4.1_Electricidad Illes Balears'!$E$20:$J$42,"emisiones",'6.1_Resultados Illes Balears'!E$71:E114)+DSUM('4.1_Electricidad Illes Balears'!$E$50:$K$70,"emisiones",'6.1_Resultados Illes Balears'!E$71:E114))/1000)-SUM(N$72:N113)</f>
        <v>0</v>
      </c>
      <c r="O114" s="504"/>
      <c r="P114" s="504">
        <f t="shared" si="1"/>
        <v>0</v>
      </c>
      <c r="Q114" s="504"/>
      <c r="R114" s="504"/>
    </row>
    <row r="115" spans="5:18" x14ac:dyDescent="0.3">
      <c r="E115" s="195" t="str">
        <f>IF(Dades!E705="","",Dades!E705)</f>
        <v/>
      </c>
      <c r="F115" s="397">
        <f>(DSUM('1_Combustibles fósiles'!$E$17:$N$39,"emissions",'6.1_Resultados Illes Balears'!E$71:E115)/1000)-SUM(F$72:F114)</f>
        <v>0</v>
      </c>
      <c r="G115" s="397">
        <f>((DSUM('1_Combustibles fósiles'!$E$47:$U$67,"emissions1",'6.1_Resultados Illes Balears'!E$71:E115)+DSUM('1_Combustibles fósiles'!$E$47:$U$67,"emissions2",'6.1_Resultados Illes Balears'!E$71:E115))/1000)-SUM(G$72:G114)</f>
        <v>0</v>
      </c>
      <c r="H115" s="397">
        <f>(DSUM('2_Fluorados'!$E$11:$P$33,"emissions",'6.1_Resultados Illes Balears'!E$71:E115)/1000)-SUM(H$72:H114)</f>
        <v>0</v>
      </c>
      <c r="I115" s="503">
        <f>(DSUM('3_Emisiones proceso'!$E$13:$K$35,"emissions",'6.1_Resultados Illes Balears'!E$71:E115)/1000)-SUM(I$72:I114)</f>
        <v>0</v>
      </c>
      <c r="J115" s="503"/>
      <c r="K115" s="504">
        <f t="shared" si="0"/>
        <v>0</v>
      </c>
      <c r="L115" s="504"/>
      <c r="M115" s="504"/>
      <c r="N115" s="503">
        <f>((DSUM('4.1_Electricidad Illes Balears'!$E$20:$J$42,"emisiones",'6.1_Resultados Illes Balears'!E$71:E115)+DSUM('4.1_Electricidad Illes Balears'!$E$50:$K$70,"emisiones",'6.1_Resultados Illes Balears'!E$71:E115))/1000)-SUM(N$72:N114)</f>
        <v>0</v>
      </c>
      <c r="O115" s="504"/>
      <c r="P115" s="504">
        <f t="shared" si="1"/>
        <v>0</v>
      </c>
      <c r="Q115" s="504"/>
      <c r="R115" s="504"/>
    </row>
    <row r="116" spans="5:18" x14ac:dyDescent="0.3">
      <c r="E116" s="195" t="str">
        <f>IF(Dades!E706="","",Dades!E706)</f>
        <v/>
      </c>
      <c r="F116" s="397">
        <f>(DSUM('1_Combustibles fósiles'!$E$17:$N$39,"emissions",'6.1_Resultados Illes Balears'!E$71:E116)/1000)-SUM(F$72:F115)</f>
        <v>0</v>
      </c>
      <c r="G116" s="397">
        <f>((DSUM('1_Combustibles fósiles'!$E$47:$U$67,"emissions1",'6.1_Resultados Illes Balears'!E$71:E116)+DSUM('1_Combustibles fósiles'!$E$47:$U$67,"emissions2",'6.1_Resultados Illes Balears'!E$71:E116))/1000)-SUM(G$72:G115)</f>
        <v>0</v>
      </c>
      <c r="H116" s="397">
        <f>(DSUM('2_Fluorados'!$E$11:$P$33,"emissions",'6.1_Resultados Illes Balears'!E$71:E116)/1000)-SUM(H$72:H115)</f>
        <v>0</v>
      </c>
      <c r="I116" s="503">
        <f>(DSUM('3_Emisiones proceso'!$E$13:$K$35,"emissions",'6.1_Resultados Illes Balears'!E$71:E116)/1000)-SUM(I$72:I115)</f>
        <v>0</v>
      </c>
      <c r="J116" s="503"/>
      <c r="K116" s="504">
        <f t="shared" si="0"/>
        <v>0</v>
      </c>
      <c r="L116" s="504"/>
      <c r="M116" s="504"/>
      <c r="N116" s="503">
        <f>((DSUM('4.1_Electricidad Illes Balears'!$E$20:$J$42,"emisiones",'6.1_Resultados Illes Balears'!E$71:E116)+DSUM('4.1_Electricidad Illes Balears'!$E$50:$K$70,"emisiones",'6.1_Resultados Illes Balears'!E$71:E116))/1000)-SUM(N$72:N115)</f>
        <v>0</v>
      </c>
      <c r="O116" s="504"/>
      <c r="P116" s="504">
        <f t="shared" si="1"/>
        <v>0</v>
      </c>
      <c r="Q116" s="504"/>
      <c r="R116" s="504"/>
    </row>
    <row r="117" spans="5:18" x14ac:dyDescent="0.3">
      <c r="E117" s="195" t="str">
        <f>IF(Dades!E707="","",Dades!E707)</f>
        <v/>
      </c>
      <c r="F117" s="397">
        <f>(DSUM('1_Combustibles fósiles'!$E$17:$N$39,"emissions",'6.1_Resultados Illes Balears'!E$71:E117)/1000)-SUM(F$72:F116)</f>
        <v>0</v>
      </c>
      <c r="G117" s="397">
        <f>((DSUM('1_Combustibles fósiles'!$E$47:$U$67,"emissions1",'6.1_Resultados Illes Balears'!E$71:E117)+DSUM('1_Combustibles fósiles'!$E$47:$U$67,"emissions2",'6.1_Resultados Illes Balears'!E$71:E117))/1000)-SUM(G$72:G116)</f>
        <v>0</v>
      </c>
      <c r="H117" s="397">
        <f>(DSUM('2_Fluorados'!$E$11:$P$33,"emissions",'6.1_Resultados Illes Balears'!E$71:E117)/1000)-SUM(H$72:H116)</f>
        <v>0</v>
      </c>
      <c r="I117" s="503">
        <f>(DSUM('3_Emisiones proceso'!$E$13:$K$35,"emissions",'6.1_Resultados Illes Balears'!E$71:E117)/1000)-SUM(I$72:I116)</f>
        <v>0</v>
      </c>
      <c r="J117" s="503"/>
      <c r="K117" s="504">
        <f t="shared" si="0"/>
        <v>0</v>
      </c>
      <c r="L117" s="504"/>
      <c r="M117" s="504"/>
      <c r="N117" s="503">
        <f>((DSUM('4.1_Electricidad Illes Balears'!$E$20:$J$42,"emisiones",'6.1_Resultados Illes Balears'!E$71:E117)+DSUM('4.1_Electricidad Illes Balears'!$E$50:$K$70,"emisiones",'6.1_Resultados Illes Balears'!E$71:E117))/1000)-SUM(N$72:N116)</f>
        <v>0</v>
      </c>
      <c r="O117" s="504"/>
      <c r="P117" s="504">
        <f t="shared" si="1"/>
        <v>0</v>
      </c>
      <c r="Q117" s="504"/>
      <c r="R117" s="504"/>
    </row>
    <row r="118" spans="5:18" x14ac:dyDescent="0.3">
      <c r="E118" s="195" t="str">
        <f>IF(Dades!E708="","",Dades!E708)</f>
        <v/>
      </c>
      <c r="F118" s="397">
        <f>(DSUM('1_Combustibles fósiles'!$E$17:$N$39,"emissions",'6.1_Resultados Illes Balears'!E$71:E118)/1000)-SUM(F$72:F117)</f>
        <v>0</v>
      </c>
      <c r="G118" s="397">
        <f>((DSUM('1_Combustibles fósiles'!$E$47:$U$67,"emissions1",'6.1_Resultados Illes Balears'!E$71:E118)+DSUM('1_Combustibles fósiles'!$E$47:$U$67,"emissions2",'6.1_Resultados Illes Balears'!E$71:E118))/1000)-SUM(G$72:G117)</f>
        <v>0</v>
      </c>
      <c r="H118" s="397">
        <f>(DSUM('2_Fluorados'!$E$11:$P$33,"emissions",'6.1_Resultados Illes Balears'!E$71:E118)/1000)-SUM(H$72:H117)</f>
        <v>0</v>
      </c>
      <c r="I118" s="503">
        <f>(DSUM('3_Emisiones proceso'!$E$13:$K$35,"emissions",'6.1_Resultados Illes Balears'!E$71:E118)/1000)-SUM(I$72:I117)</f>
        <v>0</v>
      </c>
      <c r="J118" s="503"/>
      <c r="K118" s="504">
        <f t="shared" si="0"/>
        <v>0</v>
      </c>
      <c r="L118" s="504"/>
      <c r="M118" s="504"/>
      <c r="N118" s="503">
        <f>((DSUM('4.1_Electricidad Illes Balears'!$E$20:$J$42,"emisiones",'6.1_Resultados Illes Balears'!E$71:E118)+DSUM('4.1_Electricidad Illes Balears'!$E$50:$K$70,"emisiones",'6.1_Resultados Illes Balears'!E$71:E118))/1000)-SUM(N$72:N117)</f>
        <v>0</v>
      </c>
      <c r="O118" s="504"/>
      <c r="P118" s="504">
        <f t="shared" si="1"/>
        <v>0</v>
      </c>
      <c r="Q118" s="504"/>
      <c r="R118" s="504"/>
    </row>
    <row r="119" spans="5:18" x14ac:dyDescent="0.3">
      <c r="E119" s="195" t="str">
        <f>IF(Dades!E709="","",Dades!E709)</f>
        <v/>
      </c>
      <c r="F119" s="397">
        <f>(DSUM('1_Combustibles fósiles'!$E$17:$N$39,"emissions",'6.1_Resultados Illes Balears'!E$71:E119)/1000)-SUM(F$72:F118)</f>
        <v>0</v>
      </c>
      <c r="G119" s="397">
        <f>((DSUM('1_Combustibles fósiles'!$E$47:$U$67,"emissions1",'6.1_Resultados Illes Balears'!E$71:E119)+DSUM('1_Combustibles fósiles'!$E$47:$U$67,"emissions2",'6.1_Resultados Illes Balears'!E$71:E119))/1000)-SUM(G$72:G118)</f>
        <v>0</v>
      </c>
      <c r="H119" s="397">
        <f>(DSUM('2_Fluorados'!$E$11:$P$33,"emissions",'6.1_Resultados Illes Balears'!E$71:E119)/1000)-SUM(H$72:H118)</f>
        <v>0</v>
      </c>
      <c r="I119" s="503">
        <f>(DSUM('3_Emisiones proceso'!$E$13:$K$35,"emissions",'6.1_Resultados Illes Balears'!E$71:E119)/1000)-SUM(I$72:I118)</f>
        <v>0</v>
      </c>
      <c r="J119" s="503"/>
      <c r="K119" s="504">
        <f t="shared" si="0"/>
        <v>0</v>
      </c>
      <c r="L119" s="504"/>
      <c r="M119" s="504"/>
      <c r="N119" s="503">
        <f>((DSUM('4.1_Electricidad Illes Balears'!$E$20:$J$42,"emisiones",'6.1_Resultados Illes Balears'!E$71:E119)+DSUM('4.1_Electricidad Illes Balears'!$E$50:$K$70,"emisiones",'6.1_Resultados Illes Balears'!E$71:E119))/1000)-SUM(N$72:N118)</f>
        <v>0</v>
      </c>
      <c r="O119" s="504"/>
      <c r="P119" s="504">
        <f t="shared" si="1"/>
        <v>0</v>
      </c>
      <c r="Q119" s="504"/>
      <c r="R119" s="504"/>
    </row>
    <row r="120" spans="5:18" x14ac:dyDescent="0.3">
      <c r="E120" s="195" t="str">
        <f>IF(Dades!E710="","",Dades!E710)</f>
        <v/>
      </c>
      <c r="F120" s="397">
        <f>(DSUM('1_Combustibles fósiles'!$E$17:$N$39,"emissions",'6.1_Resultados Illes Balears'!E$71:E120)/1000)-SUM(F$72:F119)</f>
        <v>0</v>
      </c>
      <c r="G120" s="397">
        <f>((DSUM('1_Combustibles fósiles'!$E$47:$U$67,"emissions1",'6.1_Resultados Illes Balears'!E$71:E120)+DSUM('1_Combustibles fósiles'!$E$47:$U$67,"emissions2",'6.1_Resultados Illes Balears'!E$71:E120))/1000)-SUM(G$72:G119)</f>
        <v>0</v>
      </c>
      <c r="H120" s="397">
        <f>(DSUM('2_Fluorados'!$E$11:$P$33,"emissions",'6.1_Resultados Illes Balears'!E$71:E120)/1000)-SUM(H$72:H119)</f>
        <v>0</v>
      </c>
      <c r="I120" s="503">
        <f>(DSUM('3_Emisiones proceso'!$E$13:$K$35,"emissions",'6.1_Resultados Illes Balears'!E$71:E120)/1000)-SUM(I$72:I119)</f>
        <v>0</v>
      </c>
      <c r="J120" s="503"/>
      <c r="K120" s="504">
        <f t="shared" si="0"/>
        <v>0</v>
      </c>
      <c r="L120" s="504"/>
      <c r="M120" s="504"/>
      <c r="N120" s="503">
        <f>((DSUM('4.1_Electricidad Illes Balears'!$E$20:$J$42,"emisiones",'6.1_Resultados Illes Balears'!E$71:E120)+DSUM('4.1_Electricidad Illes Balears'!$E$50:$K$70,"emisiones",'6.1_Resultados Illes Balears'!E$71:E120))/1000)-SUM(N$72:N119)</f>
        <v>0</v>
      </c>
      <c r="O120" s="504"/>
      <c r="P120" s="504">
        <f t="shared" si="1"/>
        <v>0</v>
      </c>
      <c r="Q120" s="504"/>
      <c r="R120" s="504"/>
    </row>
    <row r="121" spans="5:18" x14ac:dyDescent="0.3">
      <c r="E121" s="195" t="str">
        <f>IF(Dades!E711="","",Dades!E711)</f>
        <v/>
      </c>
      <c r="F121" s="397">
        <f>(DSUM('1_Combustibles fósiles'!$E$17:$N$39,"emissions",'6.1_Resultados Illes Balears'!E$71:E121)/1000)-SUM(F$72:F120)</f>
        <v>0</v>
      </c>
      <c r="G121" s="397">
        <f>((DSUM('1_Combustibles fósiles'!$E$47:$U$67,"emissions1",'6.1_Resultados Illes Balears'!E$71:E121)+DSUM('1_Combustibles fósiles'!$E$47:$U$67,"emissions2",'6.1_Resultados Illes Balears'!E$71:E121))/1000)-SUM(G$72:G120)</f>
        <v>0</v>
      </c>
      <c r="H121" s="397">
        <f>(DSUM('2_Fluorados'!$E$11:$P$33,"emissions",'6.1_Resultados Illes Balears'!E$71:E121)/1000)-SUM(H$72:H120)</f>
        <v>0</v>
      </c>
      <c r="I121" s="503">
        <f>(DSUM('3_Emisiones proceso'!$E$13:$K$35,"emissions",'6.1_Resultados Illes Balears'!E$71:E121)/1000)-SUM(I$72:I120)</f>
        <v>0</v>
      </c>
      <c r="J121" s="503"/>
      <c r="K121" s="504">
        <f t="shared" si="0"/>
        <v>0</v>
      </c>
      <c r="L121" s="504"/>
      <c r="M121" s="504"/>
      <c r="N121" s="503">
        <f>((DSUM('4.1_Electricidad Illes Balears'!$E$20:$J$42,"emisiones",'6.1_Resultados Illes Balears'!E$71:E121)+DSUM('4.1_Electricidad Illes Balears'!$E$50:$K$70,"emisiones",'6.1_Resultados Illes Balears'!E$71:E121))/1000)-SUM(N$72:N120)</f>
        <v>0</v>
      </c>
      <c r="O121" s="504"/>
      <c r="P121" s="504">
        <f t="shared" si="1"/>
        <v>0</v>
      </c>
      <c r="Q121" s="504"/>
      <c r="R121" s="504"/>
    </row>
    <row r="122" spans="5:18" x14ac:dyDescent="0.3">
      <c r="E122" s="195" t="str">
        <f>IF(Dades!E712="","",Dades!E712)</f>
        <v/>
      </c>
      <c r="F122" s="397">
        <f>(DSUM('1_Combustibles fósiles'!$E$17:$N$39,"emissions",'6.1_Resultados Illes Balears'!E$71:E122)/1000)-SUM(F$72:F121)</f>
        <v>0</v>
      </c>
      <c r="G122" s="397">
        <f>((DSUM('1_Combustibles fósiles'!$E$47:$U$67,"emissions1",'6.1_Resultados Illes Balears'!E$71:E122)+DSUM('1_Combustibles fósiles'!$E$47:$U$67,"emissions2",'6.1_Resultados Illes Balears'!E$71:E122))/1000)-SUM(G$72:G121)</f>
        <v>0</v>
      </c>
      <c r="H122" s="397">
        <f>(DSUM('2_Fluorados'!$E$11:$P$33,"emissions",'6.1_Resultados Illes Balears'!E$71:E122)/1000)-SUM(H$72:H121)</f>
        <v>0</v>
      </c>
      <c r="I122" s="503">
        <f>(DSUM('3_Emisiones proceso'!$E$13:$K$35,"emissions",'6.1_Resultados Illes Balears'!E$71:E122)/1000)-SUM(I$72:I121)</f>
        <v>0</v>
      </c>
      <c r="J122" s="503"/>
      <c r="K122" s="504">
        <f t="shared" si="0"/>
        <v>0</v>
      </c>
      <c r="L122" s="504"/>
      <c r="M122" s="504"/>
      <c r="N122" s="503">
        <f>((DSUM('4.1_Electricidad Illes Balears'!$E$20:$J$42,"emisiones",'6.1_Resultados Illes Balears'!E$71:E122)+DSUM('4.1_Electricidad Illes Balears'!$E$50:$K$70,"emisiones",'6.1_Resultados Illes Balears'!E$71:E122))/1000)-SUM(N$72:N121)</f>
        <v>0</v>
      </c>
      <c r="O122" s="504"/>
      <c r="P122" s="504">
        <f t="shared" si="1"/>
        <v>0</v>
      </c>
      <c r="Q122" s="504"/>
      <c r="R122" s="504"/>
    </row>
    <row r="123" spans="5:18" x14ac:dyDescent="0.3">
      <c r="E123" s="195" t="str">
        <f>IF(Dades!E713="","",Dades!E713)</f>
        <v/>
      </c>
      <c r="F123" s="397">
        <f>(DSUM('1_Combustibles fósiles'!$E$17:$N$39,"emissions",'6.1_Resultados Illes Balears'!E$71:E123)/1000)-SUM(F$72:F122)</f>
        <v>0</v>
      </c>
      <c r="G123" s="397">
        <f>((DSUM('1_Combustibles fósiles'!$E$47:$U$67,"emissions1",'6.1_Resultados Illes Balears'!E$71:E123)+DSUM('1_Combustibles fósiles'!$E$47:$U$67,"emissions2",'6.1_Resultados Illes Balears'!E$71:E123))/1000)-SUM(G$72:G122)</f>
        <v>0</v>
      </c>
      <c r="H123" s="397">
        <f>(DSUM('2_Fluorados'!$E$11:$P$33,"emissions",'6.1_Resultados Illes Balears'!E$71:E123)/1000)-SUM(H$72:H122)</f>
        <v>0</v>
      </c>
      <c r="I123" s="503">
        <f>(DSUM('3_Emisiones proceso'!$E$13:$K$35,"emissions",'6.1_Resultados Illes Balears'!E$71:E123)/1000)-SUM(I$72:I122)</f>
        <v>0</v>
      </c>
      <c r="J123" s="503"/>
      <c r="K123" s="504">
        <f t="shared" si="0"/>
        <v>0</v>
      </c>
      <c r="L123" s="504"/>
      <c r="M123" s="504"/>
      <c r="N123" s="503">
        <f>((DSUM('4.1_Electricidad Illes Balears'!$E$20:$J$42,"emisiones",'6.1_Resultados Illes Balears'!E$71:E123)+DSUM('4.1_Electricidad Illes Balears'!$E$50:$K$70,"emisiones",'6.1_Resultados Illes Balears'!E$71:E123))/1000)-SUM(N$72:N122)</f>
        <v>0</v>
      </c>
      <c r="O123" s="504"/>
      <c r="P123" s="504">
        <f t="shared" si="1"/>
        <v>0</v>
      </c>
      <c r="Q123" s="504"/>
      <c r="R123" s="504"/>
    </row>
    <row r="124" spans="5:18" x14ac:dyDescent="0.3">
      <c r="E124" s="195" t="str">
        <f>IF(Dades!E714="","",Dades!E714)</f>
        <v/>
      </c>
      <c r="F124" s="397">
        <f>(DSUM('1_Combustibles fósiles'!$E$17:$N$39,"emissions",'6.1_Resultados Illes Balears'!E$71:E124)/1000)-SUM(F$72:F123)</f>
        <v>0</v>
      </c>
      <c r="G124" s="397">
        <f>((DSUM('1_Combustibles fósiles'!$E$47:$U$67,"emissions1",'6.1_Resultados Illes Balears'!E$71:E124)+DSUM('1_Combustibles fósiles'!$E$47:$U$67,"emissions2",'6.1_Resultados Illes Balears'!E$71:E124))/1000)-SUM(G$72:G123)</f>
        <v>0</v>
      </c>
      <c r="H124" s="397">
        <f>(DSUM('2_Fluorados'!$E$11:$P$33,"emissions",'6.1_Resultados Illes Balears'!E$71:E124)/1000)-SUM(H$72:H123)</f>
        <v>0</v>
      </c>
      <c r="I124" s="503">
        <f>(DSUM('3_Emisiones proceso'!$E$13:$K$35,"emissions",'6.1_Resultados Illes Balears'!E$71:E124)/1000)-SUM(I$72:I123)</f>
        <v>0</v>
      </c>
      <c r="J124" s="503"/>
      <c r="K124" s="504">
        <f t="shared" si="0"/>
        <v>0</v>
      </c>
      <c r="L124" s="504"/>
      <c r="M124" s="504"/>
      <c r="N124" s="503">
        <f>((DSUM('4.1_Electricidad Illes Balears'!$E$20:$J$42,"emisiones",'6.1_Resultados Illes Balears'!E$71:E124)+DSUM('4.1_Electricidad Illes Balears'!$E$50:$K$70,"emisiones",'6.1_Resultados Illes Balears'!E$71:E124))/1000)-SUM(N$72:N123)</f>
        <v>0</v>
      </c>
      <c r="O124" s="504"/>
      <c r="P124" s="504">
        <f t="shared" si="1"/>
        <v>0</v>
      </c>
      <c r="Q124" s="504"/>
      <c r="R124" s="504"/>
    </row>
    <row r="125" spans="5:18" x14ac:dyDescent="0.3">
      <c r="E125" s="195" t="str">
        <f>IF(Dades!E715="","",Dades!E715)</f>
        <v/>
      </c>
      <c r="F125" s="397">
        <f>(DSUM('1_Combustibles fósiles'!$E$17:$N$39,"emissions",'6.1_Resultados Illes Balears'!E$71:E125)/1000)-SUM(F$72:F124)</f>
        <v>0</v>
      </c>
      <c r="G125" s="397">
        <f>((DSUM('1_Combustibles fósiles'!$E$47:$U$67,"emissions1",'6.1_Resultados Illes Balears'!E$71:E125)+DSUM('1_Combustibles fósiles'!$E$47:$U$67,"emissions2",'6.1_Resultados Illes Balears'!E$71:E125))/1000)-SUM(G$72:G124)</f>
        <v>0</v>
      </c>
      <c r="H125" s="397">
        <f>(DSUM('2_Fluorados'!$E$11:$P$33,"emissions",'6.1_Resultados Illes Balears'!E$71:E125)/1000)-SUM(H$72:H124)</f>
        <v>0</v>
      </c>
      <c r="I125" s="503">
        <f>(DSUM('3_Emisiones proceso'!$E$13:$K$35,"emissions",'6.1_Resultados Illes Balears'!E$71:E125)/1000)-SUM(I$72:I124)</f>
        <v>0</v>
      </c>
      <c r="J125" s="503"/>
      <c r="K125" s="504">
        <f t="shared" si="0"/>
        <v>0</v>
      </c>
      <c r="L125" s="504"/>
      <c r="M125" s="504"/>
      <c r="N125" s="503">
        <f>((DSUM('4.1_Electricidad Illes Balears'!$E$20:$J$42,"emisiones",'6.1_Resultados Illes Balears'!E$71:E125)+DSUM('4.1_Electricidad Illes Balears'!$E$50:$K$70,"emisiones",'6.1_Resultados Illes Balears'!E$71:E125))/1000)-SUM(N$72:N124)</f>
        <v>0</v>
      </c>
      <c r="O125" s="504"/>
      <c r="P125" s="504">
        <f t="shared" si="1"/>
        <v>0</v>
      </c>
      <c r="Q125" s="504"/>
      <c r="R125" s="504"/>
    </row>
    <row r="126" spans="5:18" x14ac:dyDescent="0.3">
      <c r="E126" s="195" t="str">
        <f>IF(Dades!E716="","",Dades!E716)</f>
        <v/>
      </c>
      <c r="F126" s="397">
        <f>(DSUM('1_Combustibles fósiles'!$E$17:$N$39,"emissions",'6.1_Resultados Illes Balears'!E$71:E126)/1000)-SUM(F$72:F125)</f>
        <v>0</v>
      </c>
      <c r="G126" s="397">
        <f>((DSUM('1_Combustibles fósiles'!$E$47:$U$67,"emissions1",'6.1_Resultados Illes Balears'!E$71:E126)+DSUM('1_Combustibles fósiles'!$E$47:$U$67,"emissions2",'6.1_Resultados Illes Balears'!E$71:E126))/1000)-SUM(G$72:G125)</f>
        <v>0</v>
      </c>
      <c r="H126" s="397">
        <f>(DSUM('2_Fluorados'!$E$11:$P$33,"emissions",'6.1_Resultados Illes Balears'!E$71:E126)/1000)-SUM(H$72:H125)</f>
        <v>0</v>
      </c>
      <c r="I126" s="503">
        <f>(DSUM('3_Emisiones proceso'!$E$13:$K$35,"emissions",'6.1_Resultados Illes Balears'!E$71:E126)/1000)-SUM(I$72:I125)</f>
        <v>0</v>
      </c>
      <c r="J126" s="503"/>
      <c r="K126" s="504">
        <f t="shared" si="0"/>
        <v>0</v>
      </c>
      <c r="L126" s="504"/>
      <c r="M126" s="504"/>
      <c r="N126" s="503">
        <f>((DSUM('4.1_Electricidad Illes Balears'!$E$20:$J$42,"emisiones",'6.1_Resultados Illes Balears'!E$71:E126)+DSUM('4.1_Electricidad Illes Balears'!$E$50:$K$70,"emisiones",'6.1_Resultados Illes Balears'!E$71:E126))/1000)-SUM(N$72:N125)</f>
        <v>0</v>
      </c>
      <c r="O126" s="504"/>
      <c r="P126" s="504">
        <f t="shared" si="1"/>
        <v>0</v>
      </c>
      <c r="Q126" s="504"/>
      <c r="R126" s="504"/>
    </row>
    <row r="127" spans="5:18" x14ac:dyDescent="0.3">
      <c r="E127" s="195" t="str">
        <f>IF(Dades!E717="","",Dades!E717)</f>
        <v/>
      </c>
      <c r="F127" s="397">
        <f>(DSUM('1_Combustibles fósiles'!$E$17:$N$39,"emissions",'6.1_Resultados Illes Balears'!E$71:E127)/1000)-SUM(F$72:F126)</f>
        <v>0</v>
      </c>
      <c r="G127" s="397">
        <f>((DSUM('1_Combustibles fósiles'!$E$47:$U$67,"emissions1",'6.1_Resultados Illes Balears'!E$71:E127)+DSUM('1_Combustibles fósiles'!$E$47:$U$67,"emissions2",'6.1_Resultados Illes Balears'!E$71:E127))/1000)-SUM(G$72:G126)</f>
        <v>0</v>
      </c>
      <c r="H127" s="397">
        <f>(DSUM('2_Fluorados'!$E$11:$P$33,"emissions",'6.1_Resultados Illes Balears'!E$71:E127)/1000)-SUM(H$72:H126)</f>
        <v>0</v>
      </c>
      <c r="I127" s="503">
        <f>(DSUM('3_Emisiones proceso'!$E$13:$K$35,"emissions",'6.1_Resultados Illes Balears'!E$71:E127)/1000)-SUM(I$72:I126)</f>
        <v>0</v>
      </c>
      <c r="J127" s="503"/>
      <c r="K127" s="504">
        <f t="shared" si="0"/>
        <v>0</v>
      </c>
      <c r="L127" s="504"/>
      <c r="M127" s="504"/>
      <c r="N127" s="503">
        <f>((DSUM('4.1_Electricidad Illes Balears'!$E$20:$J$42,"emisiones",'6.1_Resultados Illes Balears'!E$71:E127)+DSUM('4.1_Electricidad Illes Balears'!$E$50:$K$70,"emisiones",'6.1_Resultados Illes Balears'!E$71:E127))/1000)-SUM(N$72:N126)</f>
        <v>0</v>
      </c>
      <c r="O127" s="504"/>
      <c r="P127" s="504">
        <f t="shared" si="1"/>
        <v>0</v>
      </c>
      <c r="Q127" s="504"/>
      <c r="R127" s="504"/>
    </row>
    <row r="128" spans="5:18" x14ac:dyDescent="0.3">
      <c r="E128" s="195" t="str">
        <f>IF(Dades!E718="","",Dades!E718)</f>
        <v/>
      </c>
      <c r="F128" s="397">
        <f>(DSUM('1_Combustibles fósiles'!$E$17:$N$39,"emissions",'6.1_Resultados Illes Balears'!E$71:E128)/1000)-SUM(F$72:F127)</f>
        <v>0</v>
      </c>
      <c r="G128" s="397">
        <f>((DSUM('1_Combustibles fósiles'!$E$47:$U$67,"emissions1",'6.1_Resultados Illes Balears'!E$71:E128)+DSUM('1_Combustibles fósiles'!$E$47:$U$67,"emissions2",'6.1_Resultados Illes Balears'!E$71:E128))/1000)-SUM(G$72:G127)</f>
        <v>0</v>
      </c>
      <c r="H128" s="397">
        <f>(DSUM('2_Fluorados'!$E$11:$P$33,"emissions",'6.1_Resultados Illes Balears'!E$71:E128)/1000)-SUM(H$72:H127)</f>
        <v>0</v>
      </c>
      <c r="I128" s="503">
        <f>(DSUM('3_Emisiones proceso'!$E$13:$K$35,"emissions",'6.1_Resultados Illes Balears'!E$71:E128)/1000)-SUM(I$72:I127)</f>
        <v>0</v>
      </c>
      <c r="J128" s="503"/>
      <c r="K128" s="504">
        <f t="shared" si="0"/>
        <v>0</v>
      </c>
      <c r="L128" s="504"/>
      <c r="M128" s="504"/>
      <c r="N128" s="503">
        <f>((DSUM('4.1_Electricidad Illes Balears'!$E$20:$J$42,"emisiones",'6.1_Resultados Illes Balears'!E$71:E128)+DSUM('4.1_Electricidad Illes Balears'!$E$50:$K$70,"emisiones",'6.1_Resultados Illes Balears'!E$71:E128))/1000)-SUM(N$72:N127)</f>
        <v>0</v>
      </c>
      <c r="O128" s="504"/>
      <c r="P128" s="504">
        <f t="shared" si="1"/>
        <v>0</v>
      </c>
      <c r="Q128" s="504"/>
      <c r="R128" s="504"/>
    </row>
    <row r="129" spans="5:18" x14ac:dyDescent="0.3">
      <c r="E129" s="195" t="str">
        <f>IF(Dades!E719="","",Dades!E719)</f>
        <v/>
      </c>
      <c r="F129" s="397">
        <f>(DSUM('1_Combustibles fósiles'!$E$17:$N$39,"emissions",'6.1_Resultados Illes Balears'!E$71:E129)/1000)-SUM(F$72:F128)</f>
        <v>0</v>
      </c>
      <c r="G129" s="397">
        <f>((DSUM('1_Combustibles fósiles'!$E$47:$U$67,"emissions1",'6.1_Resultados Illes Balears'!E$71:E129)+DSUM('1_Combustibles fósiles'!$E$47:$U$67,"emissions2",'6.1_Resultados Illes Balears'!E$71:E129))/1000)-SUM(G$72:G128)</f>
        <v>0</v>
      </c>
      <c r="H129" s="397">
        <f>(DSUM('2_Fluorados'!$E$11:$P$33,"emissions",'6.1_Resultados Illes Balears'!E$71:E129)/1000)-SUM(H$72:H128)</f>
        <v>0</v>
      </c>
      <c r="I129" s="503">
        <f>(DSUM('3_Emisiones proceso'!$E$13:$K$35,"emissions",'6.1_Resultados Illes Balears'!E$71:E129)/1000)-SUM(I$72:I128)</f>
        <v>0</v>
      </c>
      <c r="J129" s="503"/>
      <c r="K129" s="504">
        <f t="shared" si="0"/>
        <v>0</v>
      </c>
      <c r="L129" s="504"/>
      <c r="M129" s="504"/>
      <c r="N129" s="503">
        <f>((DSUM('4.1_Electricidad Illes Balears'!$E$20:$J$42,"emisiones",'6.1_Resultados Illes Balears'!E$71:E129)+DSUM('4.1_Electricidad Illes Balears'!$E$50:$K$70,"emisiones",'6.1_Resultados Illes Balears'!E$71:E129))/1000)-SUM(N$72:N128)</f>
        <v>0</v>
      </c>
      <c r="O129" s="504"/>
      <c r="P129" s="504">
        <f t="shared" si="1"/>
        <v>0</v>
      </c>
      <c r="Q129" s="504"/>
      <c r="R129" s="504"/>
    </row>
    <row r="130" spans="5:18" x14ac:dyDescent="0.3">
      <c r="E130" s="195" t="str">
        <f>IF(Dades!E720="","",Dades!E720)</f>
        <v/>
      </c>
      <c r="F130" s="397">
        <f>(DSUM('1_Combustibles fósiles'!$E$17:$N$39,"emissions",'6.1_Resultados Illes Balears'!E$71:E130)/1000)-SUM(F$72:F129)</f>
        <v>0</v>
      </c>
      <c r="G130" s="397">
        <f>((DSUM('1_Combustibles fósiles'!$E$47:$U$67,"emissions1",'6.1_Resultados Illes Balears'!E$71:E130)+DSUM('1_Combustibles fósiles'!$E$47:$U$67,"emissions2",'6.1_Resultados Illes Balears'!E$71:E130))/1000)-SUM(G$72:G129)</f>
        <v>0</v>
      </c>
      <c r="H130" s="397">
        <f>(DSUM('2_Fluorados'!$E$11:$P$33,"emissions",'6.1_Resultados Illes Balears'!E$71:E130)/1000)-SUM(H$72:H129)</f>
        <v>0</v>
      </c>
      <c r="I130" s="503">
        <f>(DSUM('3_Emisiones proceso'!$E$13:$K$35,"emissions",'6.1_Resultados Illes Balears'!E$71:E130)/1000)-SUM(I$72:I129)</f>
        <v>0</v>
      </c>
      <c r="J130" s="503"/>
      <c r="K130" s="504">
        <f t="shared" si="0"/>
        <v>0</v>
      </c>
      <c r="L130" s="504"/>
      <c r="M130" s="504"/>
      <c r="N130" s="503">
        <f>((DSUM('4.1_Electricidad Illes Balears'!$E$20:$J$42,"emisiones",'6.1_Resultados Illes Balears'!E$71:E130)+DSUM('4.1_Electricidad Illes Balears'!$E$50:$K$70,"emisiones",'6.1_Resultados Illes Balears'!E$71:E130))/1000)-SUM(N$72:N129)</f>
        <v>0</v>
      </c>
      <c r="O130" s="504"/>
      <c r="P130" s="504">
        <f t="shared" si="1"/>
        <v>0</v>
      </c>
      <c r="Q130" s="504"/>
      <c r="R130" s="504"/>
    </row>
    <row r="131" spans="5:18" x14ac:dyDescent="0.3">
      <c r="E131" s="195" t="str">
        <f>IF(Dades!E721="","",Dades!E721)</f>
        <v/>
      </c>
      <c r="F131" s="397">
        <f>(DSUM('1_Combustibles fósiles'!$E$17:$N$39,"emissions",'6.1_Resultados Illes Balears'!E$71:E131)/1000)-SUM(F$72:F130)</f>
        <v>0</v>
      </c>
      <c r="G131" s="397">
        <f>((DSUM('1_Combustibles fósiles'!$E$47:$U$67,"emissions1",'6.1_Resultados Illes Balears'!E$71:E131)+DSUM('1_Combustibles fósiles'!$E$47:$U$67,"emissions2",'6.1_Resultados Illes Balears'!E$71:E131))/1000)-SUM(G$72:G130)</f>
        <v>0</v>
      </c>
      <c r="H131" s="397">
        <f>(DSUM('2_Fluorados'!$E$11:$P$33,"emissions",'6.1_Resultados Illes Balears'!E$71:E131)/1000)-SUM(H$72:H130)</f>
        <v>0</v>
      </c>
      <c r="I131" s="503">
        <f>(DSUM('3_Emisiones proceso'!$E$13:$K$35,"emissions",'6.1_Resultados Illes Balears'!E$71:E131)/1000)-SUM(I$72:I130)</f>
        <v>0</v>
      </c>
      <c r="J131" s="503"/>
      <c r="K131" s="504">
        <f t="shared" si="0"/>
        <v>0</v>
      </c>
      <c r="L131" s="504"/>
      <c r="M131" s="504"/>
      <c r="N131" s="503">
        <f>((DSUM('4.1_Electricidad Illes Balears'!$E$20:$J$42,"emisiones",'6.1_Resultados Illes Balears'!E$71:E131)+DSUM('4.1_Electricidad Illes Balears'!$E$50:$K$70,"emisiones",'6.1_Resultados Illes Balears'!E$71:E131))/1000)-SUM(N$72:N130)</f>
        <v>0</v>
      </c>
      <c r="O131" s="504"/>
      <c r="P131" s="504">
        <f t="shared" si="1"/>
        <v>0</v>
      </c>
      <c r="Q131" s="504"/>
      <c r="R131" s="504"/>
    </row>
    <row r="132" spans="5:18" x14ac:dyDescent="0.3">
      <c r="E132" s="195" t="str">
        <f>IF(Dades!E722="","",Dades!E722)</f>
        <v/>
      </c>
      <c r="F132" s="397">
        <f>(DSUM('1_Combustibles fósiles'!$E$17:$N$39,"emissions",'6.1_Resultados Illes Balears'!E$71:E132)/1000)-SUM(F$72:F131)</f>
        <v>0</v>
      </c>
      <c r="G132" s="397">
        <f>((DSUM('1_Combustibles fósiles'!$E$47:$U$67,"emissions1",'6.1_Resultados Illes Balears'!E$71:E132)+DSUM('1_Combustibles fósiles'!$E$47:$U$67,"emissions2",'6.1_Resultados Illes Balears'!E$71:E132))/1000)-SUM(G$72:G131)</f>
        <v>0</v>
      </c>
      <c r="H132" s="397">
        <f>(DSUM('2_Fluorados'!$E$11:$P$33,"emissions",'6.1_Resultados Illes Balears'!E$71:E132)/1000)-SUM(H$72:H131)</f>
        <v>0</v>
      </c>
      <c r="I132" s="503">
        <f>(DSUM('3_Emisiones proceso'!$E$13:$K$35,"emissions",'6.1_Resultados Illes Balears'!E$71:E132)/1000)-SUM(I$72:I131)</f>
        <v>0</v>
      </c>
      <c r="J132" s="503"/>
      <c r="K132" s="504">
        <f t="shared" si="0"/>
        <v>0</v>
      </c>
      <c r="L132" s="504"/>
      <c r="M132" s="504"/>
      <c r="N132" s="503">
        <f>((DSUM('4.1_Electricidad Illes Balears'!$E$20:$J$42,"emisiones",'6.1_Resultados Illes Balears'!E$71:E132)+DSUM('4.1_Electricidad Illes Balears'!$E$50:$K$70,"emisiones",'6.1_Resultados Illes Balears'!E$71:E132))/1000)-SUM(N$72:N131)</f>
        <v>0</v>
      </c>
      <c r="O132" s="504"/>
      <c r="P132" s="504">
        <f t="shared" si="1"/>
        <v>0</v>
      </c>
      <c r="Q132" s="504"/>
      <c r="R132" s="504"/>
    </row>
    <row r="133" spans="5:18" x14ac:dyDescent="0.3">
      <c r="E133" s="195" t="str">
        <f>IF(Dades!E723="","",Dades!E723)</f>
        <v/>
      </c>
      <c r="F133" s="397">
        <f>(DSUM('1_Combustibles fósiles'!$E$17:$N$39,"emissions",'6.1_Resultados Illes Balears'!E$71:E133)/1000)-SUM(F$72:F132)</f>
        <v>0</v>
      </c>
      <c r="G133" s="397">
        <f>((DSUM('1_Combustibles fósiles'!$E$47:$U$67,"emissions1",'6.1_Resultados Illes Balears'!E$71:E133)+DSUM('1_Combustibles fósiles'!$E$47:$U$67,"emissions2",'6.1_Resultados Illes Balears'!E$71:E133))/1000)-SUM(G$72:G132)</f>
        <v>0</v>
      </c>
      <c r="H133" s="397">
        <f>(DSUM('2_Fluorados'!$E$11:$P$33,"emissions",'6.1_Resultados Illes Balears'!E$71:E133)/1000)-SUM(H$72:H132)</f>
        <v>0</v>
      </c>
      <c r="I133" s="503">
        <f>(DSUM('3_Emisiones proceso'!$E$13:$K$35,"emissions",'6.1_Resultados Illes Balears'!E$71:E133)/1000)-SUM(I$72:I132)</f>
        <v>0</v>
      </c>
      <c r="J133" s="503"/>
      <c r="K133" s="504">
        <f t="shared" si="0"/>
        <v>0</v>
      </c>
      <c r="L133" s="504"/>
      <c r="M133" s="504"/>
      <c r="N133" s="503">
        <f>((DSUM('4.1_Electricidad Illes Balears'!$E$20:$J$42,"emisiones",'6.1_Resultados Illes Balears'!E$71:E133)+DSUM('4.1_Electricidad Illes Balears'!$E$50:$K$70,"emisiones",'6.1_Resultados Illes Balears'!E$71:E133))/1000)-SUM(N$72:N132)</f>
        <v>0</v>
      </c>
      <c r="O133" s="504"/>
      <c r="P133" s="504">
        <f t="shared" si="1"/>
        <v>0</v>
      </c>
      <c r="Q133" s="504"/>
      <c r="R133" s="504"/>
    </row>
    <row r="134" spans="5:18" x14ac:dyDescent="0.3">
      <c r="E134" s="195" t="str">
        <f>IF(Dades!E724="","",Dades!E724)</f>
        <v/>
      </c>
      <c r="F134" s="397">
        <f>(DSUM('1_Combustibles fósiles'!$E$17:$N$39,"emissions",'6.1_Resultados Illes Balears'!E$71:E134)/1000)-SUM(F$72:F133)</f>
        <v>0</v>
      </c>
      <c r="G134" s="397">
        <f>((DSUM('1_Combustibles fósiles'!$E$47:$U$67,"emissions1",'6.1_Resultados Illes Balears'!E$71:E134)+DSUM('1_Combustibles fósiles'!$E$47:$U$67,"emissions2",'6.1_Resultados Illes Balears'!E$71:E134))/1000)-SUM(G$72:G133)</f>
        <v>0</v>
      </c>
      <c r="H134" s="397">
        <f>(DSUM('2_Fluorados'!$E$11:$P$33,"emissions",'6.1_Resultados Illes Balears'!E$71:E134)/1000)-SUM(H$72:H133)</f>
        <v>0</v>
      </c>
      <c r="I134" s="503">
        <f>(DSUM('3_Emisiones proceso'!$E$13:$K$35,"emissions",'6.1_Resultados Illes Balears'!E$71:E134)/1000)-SUM(I$72:I133)</f>
        <v>0</v>
      </c>
      <c r="J134" s="503"/>
      <c r="K134" s="504">
        <f t="shared" si="0"/>
        <v>0</v>
      </c>
      <c r="L134" s="504"/>
      <c r="M134" s="504"/>
      <c r="N134" s="503">
        <f>((DSUM('4.1_Electricidad Illes Balears'!$E$20:$J$42,"emisiones",'6.1_Resultados Illes Balears'!E$71:E134)+DSUM('4.1_Electricidad Illes Balears'!$E$50:$K$70,"emisiones",'6.1_Resultados Illes Balears'!E$71:E134))/1000)-SUM(N$72:N133)</f>
        <v>0</v>
      </c>
      <c r="O134" s="504"/>
      <c r="P134" s="504">
        <f t="shared" si="1"/>
        <v>0</v>
      </c>
      <c r="Q134" s="504"/>
      <c r="R134" s="504"/>
    </row>
    <row r="135" spans="5:18" x14ac:dyDescent="0.3">
      <c r="E135" s="195" t="str">
        <f>IF(Dades!E725="","",Dades!E725)</f>
        <v/>
      </c>
      <c r="F135" s="397">
        <f>(DSUM('1_Combustibles fósiles'!$E$17:$N$39,"emissions",'6.1_Resultados Illes Balears'!E$71:E135)/1000)-SUM(F$72:F134)</f>
        <v>0</v>
      </c>
      <c r="G135" s="397">
        <f>((DSUM('1_Combustibles fósiles'!$E$47:$U$67,"emissions1",'6.1_Resultados Illes Balears'!E$71:E135)+DSUM('1_Combustibles fósiles'!$E$47:$U$67,"emissions2",'6.1_Resultados Illes Balears'!E$71:E135))/1000)-SUM(G$72:G134)</f>
        <v>0</v>
      </c>
      <c r="H135" s="397">
        <f>(DSUM('2_Fluorados'!$E$11:$P$33,"emissions",'6.1_Resultados Illes Balears'!E$71:E135)/1000)-SUM(H$72:H134)</f>
        <v>0</v>
      </c>
      <c r="I135" s="503">
        <f>(DSUM('3_Emisiones proceso'!$E$13:$K$35,"emissions",'6.1_Resultados Illes Balears'!E$71:E135)/1000)-SUM(I$72:I134)</f>
        <v>0</v>
      </c>
      <c r="J135" s="503"/>
      <c r="K135" s="504">
        <f t="shared" si="0"/>
        <v>0</v>
      </c>
      <c r="L135" s="504"/>
      <c r="M135" s="504"/>
      <c r="N135" s="503">
        <f>((DSUM('4.1_Electricidad Illes Balears'!$E$20:$J$42,"emisiones",'6.1_Resultados Illes Balears'!E$71:E135)+DSUM('4.1_Electricidad Illes Balears'!$E$50:$K$70,"emisiones",'6.1_Resultados Illes Balears'!E$71:E135))/1000)-SUM(N$72:N134)</f>
        <v>0</v>
      </c>
      <c r="O135" s="504"/>
      <c r="P135" s="504">
        <f t="shared" si="1"/>
        <v>0</v>
      </c>
      <c r="Q135" s="504"/>
      <c r="R135" s="504"/>
    </row>
    <row r="136" spans="5:18" x14ac:dyDescent="0.3">
      <c r="E136" s="195" t="str">
        <f>IF(Dades!E726="","",Dades!E726)</f>
        <v/>
      </c>
      <c r="F136" s="397">
        <f>(DSUM('1_Combustibles fósiles'!$E$17:$N$39,"emissions",'6.1_Resultados Illes Balears'!E$71:E136)/1000)-SUM(F$72:F135)</f>
        <v>0</v>
      </c>
      <c r="G136" s="397">
        <f>((DSUM('1_Combustibles fósiles'!$E$47:$U$67,"emissions1",'6.1_Resultados Illes Balears'!E$71:E136)+DSUM('1_Combustibles fósiles'!$E$47:$U$67,"emissions2",'6.1_Resultados Illes Balears'!E$71:E136))/1000)-SUM(G$72:G135)</f>
        <v>0</v>
      </c>
      <c r="H136" s="397">
        <f>(DSUM('2_Fluorados'!$E$11:$P$33,"emissions",'6.1_Resultados Illes Balears'!E$71:E136)/1000)-SUM(H$72:H135)</f>
        <v>0</v>
      </c>
      <c r="I136" s="503">
        <f>(DSUM('3_Emisiones proceso'!$E$13:$K$35,"emissions",'6.1_Resultados Illes Balears'!E$71:E136)/1000)-SUM(I$72:I135)</f>
        <v>0</v>
      </c>
      <c r="J136" s="503"/>
      <c r="K136" s="504">
        <f t="shared" si="0"/>
        <v>0</v>
      </c>
      <c r="L136" s="504"/>
      <c r="M136" s="504"/>
      <c r="N136" s="503">
        <f>((DSUM('4.1_Electricidad Illes Balears'!$E$20:$J$42,"emisiones",'6.1_Resultados Illes Balears'!E$71:E136)+DSUM('4.1_Electricidad Illes Balears'!$E$50:$K$70,"emisiones",'6.1_Resultados Illes Balears'!E$71:E136))/1000)-SUM(N$72:N135)</f>
        <v>0</v>
      </c>
      <c r="O136" s="504"/>
      <c r="P136" s="504">
        <f t="shared" si="1"/>
        <v>0</v>
      </c>
      <c r="Q136" s="504"/>
      <c r="R136" s="504"/>
    </row>
    <row r="137" spans="5:18" x14ac:dyDescent="0.3">
      <c r="E137" s="195" t="str">
        <f>IF(Dades!E727="","",Dades!E727)</f>
        <v/>
      </c>
      <c r="F137" s="397">
        <f>(DSUM('1_Combustibles fósiles'!$E$17:$N$39,"emissions",'6.1_Resultados Illes Balears'!E$71:E137)/1000)-SUM(F$72:F136)</f>
        <v>0</v>
      </c>
      <c r="G137" s="397">
        <f>((DSUM('1_Combustibles fósiles'!$E$47:$U$67,"emissions1",'6.1_Resultados Illes Balears'!E$71:E137)+DSUM('1_Combustibles fósiles'!$E$47:$U$67,"emissions2",'6.1_Resultados Illes Balears'!E$71:E137))/1000)-SUM(G$72:G136)</f>
        <v>0</v>
      </c>
      <c r="H137" s="397">
        <f>(DSUM('2_Fluorados'!$E$11:$P$33,"emissions",'6.1_Resultados Illes Balears'!E$71:E137)/1000)-SUM(H$72:H136)</f>
        <v>0</v>
      </c>
      <c r="I137" s="503">
        <f>(DSUM('3_Emisiones proceso'!$E$13:$K$35,"emissions",'6.1_Resultados Illes Balears'!E$71:E137)/1000)-SUM(I$72:I136)</f>
        <v>0</v>
      </c>
      <c r="J137" s="503"/>
      <c r="K137" s="504">
        <f t="shared" si="0"/>
        <v>0</v>
      </c>
      <c r="L137" s="504"/>
      <c r="M137" s="504"/>
      <c r="N137" s="503">
        <f>((DSUM('4.1_Electricidad Illes Balears'!$E$20:$J$42,"emisiones",'6.1_Resultados Illes Balears'!E$71:E137)+DSUM('4.1_Electricidad Illes Balears'!$E$50:$K$70,"emisiones",'6.1_Resultados Illes Balears'!E$71:E137))/1000)-SUM(N$72:N136)</f>
        <v>0</v>
      </c>
      <c r="O137" s="504"/>
      <c r="P137" s="504">
        <f t="shared" si="1"/>
        <v>0</v>
      </c>
      <c r="Q137" s="504"/>
      <c r="R137" s="504"/>
    </row>
    <row r="138" spans="5:18" x14ac:dyDescent="0.3">
      <c r="E138" s="195" t="str">
        <f>IF(Dades!E728="","",Dades!E728)</f>
        <v/>
      </c>
      <c r="F138" s="397">
        <f>(DSUM('1_Combustibles fósiles'!$E$17:$N$39,"emissions",'6.1_Resultados Illes Balears'!E$71:E138)/1000)-SUM(F$72:F137)</f>
        <v>0</v>
      </c>
      <c r="G138" s="397">
        <f>((DSUM('1_Combustibles fósiles'!$E$47:$U$67,"emissions1",'6.1_Resultados Illes Balears'!E$71:E138)+DSUM('1_Combustibles fósiles'!$E$47:$U$67,"emissions2",'6.1_Resultados Illes Balears'!E$71:E138))/1000)-SUM(G$72:G137)</f>
        <v>0</v>
      </c>
      <c r="H138" s="397">
        <f>(DSUM('2_Fluorados'!$E$11:$P$33,"emissions",'6.1_Resultados Illes Balears'!E$71:E138)/1000)-SUM(H$72:H137)</f>
        <v>0</v>
      </c>
      <c r="I138" s="503">
        <f>(DSUM('3_Emisiones proceso'!$E$13:$K$35,"emissions",'6.1_Resultados Illes Balears'!E$71:E138)/1000)-SUM(I$72:I137)</f>
        <v>0</v>
      </c>
      <c r="J138" s="503"/>
      <c r="K138" s="504">
        <f t="shared" si="0"/>
        <v>0</v>
      </c>
      <c r="L138" s="504"/>
      <c r="M138" s="504"/>
      <c r="N138" s="503">
        <f>((DSUM('4.1_Electricidad Illes Balears'!$E$20:$J$42,"emisiones",'6.1_Resultados Illes Balears'!E$71:E138)+DSUM('4.1_Electricidad Illes Balears'!$E$50:$K$70,"emisiones",'6.1_Resultados Illes Balears'!E$71:E138))/1000)-SUM(N$72:N137)</f>
        <v>0</v>
      </c>
      <c r="O138" s="504"/>
      <c r="P138" s="504">
        <f t="shared" si="1"/>
        <v>0</v>
      </c>
      <c r="Q138" s="504"/>
      <c r="R138" s="504"/>
    </row>
    <row r="139" spans="5:18" x14ac:dyDescent="0.3">
      <c r="E139" s="195" t="str">
        <f>IF(Dades!E729="","",Dades!E729)</f>
        <v/>
      </c>
      <c r="F139" s="397">
        <f>(DSUM('1_Combustibles fósiles'!$E$17:$N$39,"emissions",'6.1_Resultados Illes Balears'!E$71:E139)/1000)-SUM(F$72:F138)</f>
        <v>0</v>
      </c>
      <c r="G139" s="397">
        <f>((DSUM('1_Combustibles fósiles'!$E$47:$U$67,"emissions1",'6.1_Resultados Illes Balears'!E$71:E139)+DSUM('1_Combustibles fósiles'!$E$47:$U$67,"emissions2",'6.1_Resultados Illes Balears'!E$71:E139))/1000)-SUM(G$72:G138)</f>
        <v>0</v>
      </c>
      <c r="H139" s="397">
        <f>(DSUM('2_Fluorados'!$E$11:$P$33,"emissions",'6.1_Resultados Illes Balears'!E$71:E139)/1000)-SUM(H$72:H138)</f>
        <v>0</v>
      </c>
      <c r="I139" s="503">
        <f>(DSUM('3_Emisiones proceso'!$E$13:$K$35,"emissions",'6.1_Resultados Illes Balears'!E$71:E139)/1000)-SUM(I$72:I138)</f>
        <v>0</v>
      </c>
      <c r="J139" s="503"/>
      <c r="K139" s="504">
        <f t="shared" ref="K139:K202" si="2">SUM(F139:J139)</f>
        <v>0</v>
      </c>
      <c r="L139" s="504"/>
      <c r="M139" s="504"/>
      <c r="N139" s="503">
        <f>((DSUM('4.1_Electricidad Illes Balears'!$E$20:$J$42,"emisiones",'6.1_Resultados Illes Balears'!E$71:E139)+DSUM('4.1_Electricidad Illes Balears'!$E$50:$K$70,"emisiones",'6.1_Resultados Illes Balears'!E$71:E139))/1000)-SUM(N$72:N138)</f>
        <v>0</v>
      </c>
      <c r="O139" s="504"/>
      <c r="P139" s="504">
        <f t="shared" ref="P139:P202" si="3">K139+N139</f>
        <v>0</v>
      </c>
      <c r="Q139" s="504"/>
      <c r="R139" s="504"/>
    </row>
    <row r="140" spans="5:18" x14ac:dyDescent="0.3">
      <c r="E140" s="195" t="str">
        <f>IF(Dades!E730="","",Dades!E730)</f>
        <v/>
      </c>
      <c r="F140" s="397">
        <f>(DSUM('1_Combustibles fósiles'!$E$17:$N$39,"emissions",'6.1_Resultados Illes Balears'!E$71:E140)/1000)-SUM(F$72:F139)</f>
        <v>0</v>
      </c>
      <c r="G140" s="397">
        <f>((DSUM('1_Combustibles fósiles'!$E$47:$U$67,"emissions1",'6.1_Resultados Illes Balears'!E$71:E140)+DSUM('1_Combustibles fósiles'!$E$47:$U$67,"emissions2",'6.1_Resultados Illes Balears'!E$71:E140))/1000)-SUM(G$72:G139)</f>
        <v>0</v>
      </c>
      <c r="H140" s="397">
        <f>(DSUM('2_Fluorados'!$E$11:$P$33,"emissions",'6.1_Resultados Illes Balears'!E$71:E140)/1000)-SUM(H$72:H139)</f>
        <v>0</v>
      </c>
      <c r="I140" s="503">
        <f>(DSUM('3_Emisiones proceso'!$E$13:$K$35,"emissions",'6.1_Resultados Illes Balears'!E$71:E140)/1000)-SUM(I$72:I139)</f>
        <v>0</v>
      </c>
      <c r="J140" s="503"/>
      <c r="K140" s="504">
        <f t="shared" si="2"/>
        <v>0</v>
      </c>
      <c r="L140" s="504"/>
      <c r="M140" s="504"/>
      <c r="N140" s="503">
        <f>((DSUM('4.1_Electricidad Illes Balears'!$E$20:$J$42,"emisiones",'6.1_Resultados Illes Balears'!E$71:E140)+DSUM('4.1_Electricidad Illes Balears'!$E$50:$K$70,"emisiones",'6.1_Resultados Illes Balears'!E$71:E140))/1000)-SUM(N$72:N139)</f>
        <v>0</v>
      </c>
      <c r="O140" s="504"/>
      <c r="P140" s="504">
        <f t="shared" si="3"/>
        <v>0</v>
      </c>
      <c r="Q140" s="504"/>
      <c r="R140" s="504"/>
    </row>
    <row r="141" spans="5:18" x14ac:dyDescent="0.3">
      <c r="E141" s="195" t="str">
        <f>IF(Dades!E731="","",Dades!E731)</f>
        <v/>
      </c>
      <c r="F141" s="397">
        <f>(DSUM('1_Combustibles fósiles'!$E$17:$N$39,"emissions",'6.1_Resultados Illes Balears'!E$71:E141)/1000)-SUM(F$72:F140)</f>
        <v>0</v>
      </c>
      <c r="G141" s="397">
        <f>((DSUM('1_Combustibles fósiles'!$E$47:$U$67,"emissions1",'6.1_Resultados Illes Balears'!E$71:E141)+DSUM('1_Combustibles fósiles'!$E$47:$U$67,"emissions2",'6.1_Resultados Illes Balears'!E$71:E141))/1000)-SUM(G$72:G140)</f>
        <v>0</v>
      </c>
      <c r="H141" s="397">
        <f>(DSUM('2_Fluorados'!$E$11:$P$33,"emissions",'6.1_Resultados Illes Balears'!E$71:E141)/1000)-SUM(H$72:H140)</f>
        <v>0</v>
      </c>
      <c r="I141" s="503">
        <f>(DSUM('3_Emisiones proceso'!$E$13:$K$35,"emissions",'6.1_Resultados Illes Balears'!E$71:E141)/1000)-SUM(I$72:I140)</f>
        <v>0</v>
      </c>
      <c r="J141" s="503"/>
      <c r="K141" s="504">
        <f t="shared" si="2"/>
        <v>0</v>
      </c>
      <c r="L141" s="504"/>
      <c r="M141" s="504"/>
      <c r="N141" s="503">
        <f>((DSUM('4.1_Electricidad Illes Balears'!$E$20:$J$42,"emisiones",'6.1_Resultados Illes Balears'!E$71:E141)+DSUM('4.1_Electricidad Illes Balears'!$E$50:$K$70,"emisiones",'6.1_Resultados Illes Balears'!E$71:E141))/1000)-SUM(N$72:N140)</f>
        <v>0</v>
      </c>
      <c r="O141" s="504"/>
      <c r="P141" s="504">
        <f t="shared" si="3"/>
        <v>0</v>
      </c>
      <c r="Q141" s="504"/>
      <c r="R141" s="504"/>
    </row>
    <row r="142" spans="5:18" x14ac:dyDescent="0.3">
      <c r="E142" s="195" t="str">
        <f>IF(Dades!E732="","",Dades!E732)</f>
        <v/>
      </c>
      <c r="F142" s="397">
        <f>(DSUM('1_Combustibles fósiles'!$E$17:$N$39,"emissions",'6.1_Resultados Illes Balears'!E$71:E142)/1000)-SUM(F$72:F141)</f>
        <v>0</v>
      </c>
      <c r="G142" s="397">
        <f>((DSUM('1_Combustibles fósiles'!$E$47:$U$67,"emissions1",'6.1_Resultados Illes Balears'!E$71:E142)+DSUM('1_Combustibles fósiles'!$E$47:$U$67,"emissions2",'6.1_Resultados Illes Balears'!E$71:E142))/1000)-SUM(G$72:G141)</f>
        <v>0</v>
      </c>
      <c r="H142" s="397">
        <f>(DSUM('2_Fluorados'!$E$11:$P$33,"emissions",'6.1_Resultados Illes Balears'!E$71:E142)/1000)-SUM(H$72:H141)</f>
        <v>0</v>
      </c>
      <c r="I142" s="503">
        <f>(DSUM('3_Emisiones proceso'!$E$13:$K$35,"emissions",'6.1_Resultados Illes Balears'!E$71:E142)/1000)-SUM(I$72:I141)</f>
        <v>0</v>
      </c>
      <c r="J142" s="503"/>
      <c r="K142" s="504">
        <f t="shared" si="2"/>
        <v>0</v>
      </c>
      <c r="L142" s="504"/>
      <c r="M142" s="504"/>
      <c r="N142" s="503">
        <f>((DSUM('4.1_Electricidad Illes Balears'!$E$20:$J$42,"emisiones",'6.1_Resultados Illes Balears'!E$71:E142)+DSUM('4.1_Electricidad Illes Balears'!$E$50:$K$70,"emisiones",'6.1_Resultados Illes Balears'!E$71:E142))/1000)-SUM(N$72:N141)</f>
        <v>0</v>
      </c>
      <c r="O142" s="504"/>
      <c r="P142" s="504">
        <f t="shared" si="3"/>
        <v>0</v>
      </c>
      <c r="Q142" s="504"/>
      <c r="R142" s="504"/>
    </row>
    <row r="143" spans="5:18" x14ac:dyDescent="0.3">
      <c r="E143" s="195" t="str">
        <f>IF(Dades!E733="","",Dades!E733)</f>
        <v/>
      </c>
      <c r="F143" s="397">
        <f>(DSUM('1_Combustibles fósiles'!$E$17:$N$39,"emissions",'6.1_Resultados Illes Balears'!E$71:E143)/1000)-SUM(F$72:F142)</f>
        <v>0</v>
      </c>
      <c r="G143" s="397">
        <f>((DSUM('1_Combustibles fósiles'!$E$47:$U$67,"emissions1",'6.1_Resultados Illes Balears'!E$71:E143)+DSUM('1_Combustibles fósiles'!$E$47:$U$67,"emissions2",'6.1_Resultados Illes Balears'!E$71:E143))/1000)-SUM(G$72:G142)</f>
        <v>0</v>
      </c>
      <c r="H143" s="397">
        <f>(DSUM('2_Fluorados'!$E$11:$P$33,"emissions",'6.1_Resultados Illes Balears'!E$71:E143)/1000)-SUM(H$72:H142)</f>
        <v>0</v>
      </c>
      <c r="I143" s="503">
        <f>(DSUM('3_Emisiones proceso'!$E$13:$K$35,"emissions",'6.1_Resultados Illes Balears'!E$71:E143)/1000)-SUM(I$72:I142)</f>
        <v>0</v>
      </c>
      <c r="J143" s="503"/>
      <c r="K143" s="504">
        <f t="shared" si="2"/>
        <v>0</v>
      </c>
      <c r="L143" s="504"/>
      <c r="M143" s="504"/>
      <c r="N143" s="503">
        <f>((DSUM('4.1_Electricidad Illes Balears'!$E$20:$J$42,"emisiones",'6.1_Resultados Illes Balears'!E$71:E143)+DSUM('4.1_Electricidad Illes Balears'!$E$50:$K$70,"emisiones",'6.1_Resultados Illes Balears'!E$71:E143))/1000)-SUM(N$72:N142)</f>
        <v>0</v>
      </c>
      <c r="O143" s="504"/>
      <c r="P143" s="504">
        <f t="shared" si="3"/>
        <v>0</v>
      </c>
      <c r="Q143" s="504"/>
      <c r="R143" s="504"/>
    </row>
    <row r="144" spans="5:18" x14ac:dyDescent="0.3">
      <c r="E144" s="195" t="str">
        <f>IF(Dades!E734="","",Dades!E734)</f>
        <v/>
      </c>
      <c r="F144" s="397">
        <f>(DSUM('1_Combustibles fósiles'!$E$17:$N$39,"emissions",'6.1_Resultados Illes Balears'!E$71:E144)/1000)-SUM(F$72:F143)</f>
        <v>0</v>
      </c>
      <c r="G144" s="397">
        <f>((DSUM('1_Combustibles fósiles'!$E$47:$U$67,"emissions1",'6.1_Resultados Illes Balears'!E$71:E144)+DSUM('1_Combustibles fósiles'!$E$47:$U$67,"emissions2",'6.1_Resultados Illes Balears'!E$71:E144))/1000)-SUM(G$72:G143)</f>
        <v>0</v>
      </c>
      <c r="H144" s="397">
        <f>(DSUM('2_Fluorados'!$E$11:$P$33,"emissions",'6.1_Resultados Illes Balears'!E$71:E144)/1000)-SUM(H$72:H143)</f>
        <v>0</v>
      </c>
      <c r="I144" s="503">
        <f>(DSUM('3_Emisiones proceso'!$E$13:$K$35,"emissions",'6.1_Resultados Illes Balears'!E$71:E144)/1000)-SUM(I$72:I143)</f>
        <v>0</v>
      </c>
      <c r="J144" s="503"/>
      <c r="K144" s="504">
        <f t="shared" si="2"/>
        <v>0</v>
      </c>
      <c r="L144" s="504"/>
      <c r="M144" s="504"/>
      <c r="N144" s="503">
        <f>((DSUM('4.1_Electricidad Illes Balears'!$E$20:$J$42,"emisiones",'6.1_Resultados Illes Balears'!E$71:E144)+DSUM('4.1_Electricidad Illes Balears'!$E$50:$K$70,"emisiones",'6.1_Resultados Illes Balears'!E$71:E144))/1000)-SUM(N$72:N143)</f>
        <v>0</v>
      </c>
      <c r="O144" s="504"/>
      <c r="P144" s="504">
        <f t="shared" si="3"/>
        <v>0</v>
      </c>
      <c r="Q144" s="504"/>
      <c r="R144" s="504"/>
    </row>
    <row r="145" spans="5:18" x14ac:dyDescent="0.3">
      <c r="E145" s="195" t="str">
        <f>IF(Dades!E735="","",Dades!E735)</f>
        <v/>
      </c>
      <c r="F145" s="397">
        <f>(DSUM('1_Combustibles fósiles'!$E$17:$N$39,"emissions",'6.1_Resultados Illes Balears'!E$71:E145)/1000)-SUM(F$72:F144)</f>
        <v>0</v>
      </c>
      <c r="G145" s="397">
        <f>((DSUM('1_Combustibles fósiles'!$E$47:$U$67,"emissions1",'6.1_Resultados Illes Balears'!E$71:E145)+DSUM('1_Combustibles fósiles'!$E$47:$U$67,"emissions2",'6.1_Resultados Illes Balears'!E$71:E145))/1000)-SUM(G$72:G144)</f>
        <v>0</v>
      </c>
      <c r="H145" s="397">
        <f>(DSUM('2_Fluorados'!$E$11:$P$33,"emissions",'6.1_Resultados Illes Balears'!E$71:E145)/1000)-SUM(H$72:H144)</f>
        <v>0</v>
      </c>
      <c r="I145" s="503">
        <f>(DSUM('3_Emisiones proceso'!$E$13:$K$35,"emissions",'6.1_Resultados Illes Balears'!E$71:E145)/1000)-SUM(I$72:I144)</f>
        <v>0</v>
      </c>
      <c r="J145" s="503"/>
      <c r="K145" s="504">
        <f t="shared" si="2"/>
        <v>0</v>
      </c>
      <c r="L145" s="504"/>
      <c r="M145" s="504"/>
      <c r="N145" s="503">
        <f>((DSUM('4.1_Electricidad Illes Balears'!$E$20:$J$42,"emisiones",'6.1_Resultados Illes Balears'!E$71:E145)+DSUM('4.1_Electricidad Illes Balears'!$E$50:$K$70,"emisiones",'6.1_Resultados Illes Balears'!E$71:E145))/1000)-SUM(N$72:N144)</f>
        <v>0</v>
      </c>
      <c r="O145" s="504"/>
      <c r="P145" s="504">
        <f t="shared" si="3"/>
        <v>0</v>
      </c>
      <c r="Q145" s="504"/>
      <c r="R145" s="504"/>
    </row>
    <row r="146" spans="5:18" x14ac:dyDescent="0.3">
      <c r="E146" s="195" t="str">
        <f>IF(Dades!E736="","",Dades!E736)</f>
        <v/>
      </c>
      <c r="F146" s="397">
        <f>(DSUM('1_Combustibles fósiles'!$E$17:$N$39,"emissions",'6.1_Resultados Illes Balears'!E$71:E146)/1000)-SUM(F$72:F145)</f>
        <v>0</v>
      </c>
      <c r="G146" s="397">
        <f>((DSUM('1_Combustibles fósiles'!$E$47:$U$67,"emissions1",'6.1_Resultados Illes Balears'!E$71:E146)+DSUM('1_Combustibles fósiles'!$E$47:$U$67,"emissions2",'6.1_Resultados Illes Balears'!E$71:E146))/1000)-SUM(G$72:G145)</f>
        <v>0</v>
      </c>
      <c r="H146" s="397">
        <f>(DSUM('2_Fluorados'!$E$11:$P$33,"emissions",'6.1_Resultados Illes Balears'!E$71:E146)/1000)-SUM(H$72:H145)</f>
        <v>0</v>
      </c>
      <c r="I146" s="503">
        <f>(DSUM('3_Emisiones proceso'!$E$13:$K$35,"emissions",'6.1_Resultados Illes Balears'!E$71:E146)/1000)-SUM(I$72:I145)</f>
        <v>0</v>
      </c>
      <c r="J146" s="503"/>
      <c r="K146" s="504">
        <f t="shared" si="2"/>
        <v>0</v>
      </c>
      <c r="L146" s="504"/>
      <c r="M146" s="504"/>
      <c r="N146" s="503">
        <f>((DSUM('4.1_Electricidad Illes Balears'!$E$20:$J$42,"emisiones",'6.1_Resultados Illes Balears'!E$71:E146)+DSUM('4.1_Electricidad Illes Balears'!$E$50:$K$70,"emisiones",'6.1_Resultados Illes Balears'!E$71:E146))/1000)-SUM(N$72:N145)</f>
        <v>0</v>
      </c>
      <c r="O146" s="504"/>
      <c r="P146" s="504">
        <f t="shared" si="3"/>
        <v>0</v>
      </c>
      <c r="Q146" s="504"/>
      <c r="R146" s="504"/>
    </row>
    <row r="147" spans="5:18" x14ac:dyDescent="0.3">
      <c r="E147" s="195" t="str">
        <f>IF(Dades!E737="","",Dades!E737)</f>
        <v/>
      </c>
      <c r="F147" s="397">
        <f>(DSUM('1_Combustibles fósiles'!$E$17:$N$39,"emissions",'6.1_Resultados Illes Balears'!E$71:E147)/1000)-SUM(F$72:F146)</f>
        <v>0</v>
      </c>
      <c r="G147" s="397">
        <f>((DSUM('1_Combustibles fósiles'!$E$47:$U$67,"emissions1",'6.1_Resultados Illes Balears'!E$71:E147)+DSUM('1_Combustibles fósiles'!$E$47:$U$67,"emissions2",'6.1_Resultados Illes Balears'!E$71:E147))/1000)-SUM(G$72:G146)</f>
        <v>0</v>
      </c>
      <c r="H147" s="397">
        <f>(DSUM('2_Fluorados'!$E$11:$P$33,"emissions",'6.1_Resultados Illes Balears'!E$71:E147)/1000)-SUM(H$72:H146)</f>
        <v>0</v>
      </c>
      <c r="I147" s="503">
        <f>(DSUM('3_Emisiones proceso'!$E$13:$K$35,"emissions",'6.1_Resultados Illes Balears'!E$71:E147)/1000)-SUM(I$72:I146)</f>
        <v>0</v>
      </c>
      <c r="J147" s="503"/>
      <c r="K147" s="504">
        <f t="shared" si="2"/>
        <v>0</v>
      </c>
      <c r="L147" s="504"/>
      <c r="M147" s="504"/>
      <c r="N147" s="503">
        <f>((DSUM('4.1_Electricidad Illes Balears'!$E$20:$J$42,"emisiones",'6.1_Resultados Illes Balears'!E$71:E147)+DSUM('4.1_Electricidad Illes Balears'!$E$50:$K$70,"emisiones",'6.1_Resultados Illes Balears'!E$71:E147))/1000)-SUM(N$72:N146)</f>
        <v>0</v>
      </c>
      <c r="O147" s="504"/>
      <c r="P147" s="504">
        <f t="shared" si="3"/>
        <v>0</v>
      </c>
      <c r="Q147" s="504"/>
      <c r="R147" s="504"/>
    </row>
    <row r="148" spans="5:18" x14ac:dyDescent="0.3">
      <c r="E148" s="195" t="str">
        <f>IF(Dades!E738="","",Dades!E738)</f>
        <v/>
      </c>
      <c r="F148" s="397">
        <f>(DSUM('1_Combustibles fósiles'!$E$17:$N$39,"emissions",'6.1_Resultados Illes Balears'!E$71:E148)/1000)-SUM(F$72:F147)</f>
        <v>0</v>
      </c>
      <c r="G148" s="397">
        <f>((DSUM('1_Combustibles fósiles'!$E$47:$U$67,"emissions1",'6.1_Resultados Illes Balears'!E$71:E148)+DSUM('1_Combustibles fósiles'!$E$47:$U$67,"emissions2",'6.1_Resultados Illes Balears'!E$71:E148))/1000)-SUM(G$72:G147)</f>
        <v>0</v>
      </c>
      <c r="H148" s="397">
        <f>(DSUM('2_Fluorados'!$E$11:$P$33,"emissions",'6.1_Resultados Illes Balears'!E$71:E148)/1000)-SUM(H$72:H147)</f>
        <v>0</v>
      </c>
      <c r="I148" s="503">
        <f>(DSUM('3_Emisiones proceso'!$E$13:$K$35,"emissions",'6.1_Resultados Illes Balears'!E$71:E148)/1000)-SUM(I$72:I147)</f>
        <v>0</v>
      </c>
      <c r="J148" s="503"/>
      <c r="K148" s="504">
        <f t="shared" si="2"/>
        <v>0</v>
      </c>
      <c r="L148" s="504"/>
      <c r="M148" s="504"/>
      <c r="N148" s="503">
        <f>((DSUM('4.1_Electricidad Illes Balears'!$E$20:$J$42,"emisiones",'6.1_Resultados Illes Balears'!E$71:E148)+DSUM('4.1_Electricidad Illes Balears'!$E$50:$K$70,"emisiones",'6.1_Resultados Illes Balears'!E$71:E148))/1000)-SUM(N$72:N147)</f>
        <v>0</v>
      </c>
      <c r="O148" s="504"/>
      <c r="P148" s="504">
        <f t="shared" si="3"/>
        <v>0</v>
      </c>
      <c r="Q148" s="504"/>
      <c r="R148" s="504"/>
    </row>
    <row r="149" spans="5:18" x14ac:dyDescent="0.3">
      <c r="E149" s="195" t="str">
        <f>IF(Dades!E739="","",Dades!E739)</f>
        <v/>
      </c>
      <c r="F149" s="397">
        <f>(DSUM('1_Combustibles fósiles'!$E$17:$N$39,"emissions",'6.1_Resultados Illes Balears'!E$71:E149)/1000)-SUM(F$72:F148)</f>
        <v>0</v>
      </c>
      <c r="G149" s="397">
        <f>((DSUM('1_Combustibles fósiles'!$E$47:$U$67,"emissions1",'6.1_Resultados Illes Balears'!E$71:E149)+DSUM('1_Combustibles fósiles'!$E$47:$U$67,"emissions2",'6.1_Resultados Illes Balears'!E$71:E149))/1000)-SUM(G$72:G148)</f>
        <v>0</v>
      </c>
      <c r="H149" s="397">
        <f>(DSUM('2_Fluorados'!$E$11:$P$33,"emissions",'6.1_Resultados Illes Balears'!E$71:E149)/1000)-SUM(H$72:H148)</f>
        <v>0</v>
      </c>
      <c r="I149" s="503">
        <f>(DSUM('3_Emisiones proceso'!$E$13:$K$35,"emissions",'6.1_Resultados Illes Balears'!E$71:E149)/1000)-SUM(I$72:I148)</f>
        <v>0</v>
      </c>
      <c r="J149" s="503"/>
      <c r="K149" s="504">
        <f t="shared" si="2"/>
        <v>0</v>
      </c>
      <c r="L149" s="504"/>
      <c r="M149" s="504"/>
      <c r="N149" s="503">
        <f>((DSUM('4.1_Electricidad Illes Balears'!$E$20:$J$42,"emisiones",'6.1_Resultados Illes Balears'!E$71:E149)+DSUM('4.1_Electricidad Illes Balears'!$E$50:$K$70,"emisiones",'6.1_Resultados Illes Balears'!E$71:E149))/1000)-SUM(N$72:N148)</f>
        <v>0</v>
      </c>
      <c r="O149" s="504"/>
      <c r="P149" s="504">
        <f t="shared" si="3"/>
        <v>0</v>
      </c>
      <c r="Q149" s="504"/>
      <c r="R149" s="504"/>
    </row>
    <row r="150" spans="5:18" x14ac:dyDescent="0.3">
      <c r="E150" s="195" t="str">
        <f>IF(Dades!E740="","",Dades!E740)</f>
        <v/>
      </c>
      <c r="F150" s="397">
        <f>(DSUM('1_Combustibles fósiles'!$E$17:$N$39,"emissions",'6.1_Resultados Illes Balears'!E$71:E150)/1000)-SUM(F$72:F149)</f>
        <v>0</v>
      </c>
      <c r="G150" s="397">
        <f>((DSUM('1_Combustibles fósiles'!$E$47:$U$67,"emissions1",'6.1_Resultados Illes Balears'!E$71:E150)+DSUM('1_Combustibles fósiles'!$E$47:$U$67,"emissions2",'6.1_Resultados Illes Balears'!E$71:E150))/1000)-SUM(G$72:G149)</f>
        <v>0</v>
      </c>
      <c r="H150" s="397">
        <f>(DSUM('2_Fluorados'!$E$11:$P$33,"emissions",'6.1_Resultados Illes Balears'!E$71:E150)/1000)-SUM(H$72:H149)</f>
        <v>0</v>
      </c>
      <c r="I150" s="503">
        <f>(DSUM('3_Emisiones proceso'!$E$13:$K$35,"emissions",'6.1_Resultados Illes Balears'!E$71:E150)/1000)-SUM(I$72:I149)</f>
        <v>0</v>
      </c>
      <c r="J150" s="503"/>
      <c r="K150" s="504">
        <f t="shared" si="2"/>
        <v>0</v>
      </c>
      <c r="L150" s="504"/>
      <c r="M150" s="504"/>
      <c r="N150" s="503">
        <f>((DSUM('4.1_Electricidad Illes Balears'!$E$20:$J$42,"emisiones",'6.1_Resultados Illes Balears'!E$71:E150)+DSUM('4.1_Electricidad Illes Balears'!$E$50:$K$70,"emisiones",'6.1_Resultados Illes Balears'!E$71:E150))/1000)-SUM(N$72:N149)</f>
        <v>0</v>
      </c>
      <c r="O150" s="504"/>
      <c r="P150" s="504">
        <f t="shared" si="3"/>
        <v>0</v>
      </c>
      <c r="Q150" s="504"/>
      <c r="R150" s="504"/>
    </row>
    <row r="151" spans="5:18" x14ac:dyDescent="0.3">
      <c r="E151" s="195" t="str">
        <f>IF(Dades!E741="","",Dades!E741)</f>
        <v/>
      </c>
      <c r="F151" s="397">
        <f>(DSUM('1_Combustibles fósiles'!$E$17:$N$39,"emissions",'6.1_Resultados Illes Balears'!E$71:E151)/1000)-SUM(F$72:F150)</f>
        <v>0</v>
      </c>
      <c r="G151" s="397">
        <f>((DSUM('1_Combustibles fósiles'!$E$47:$U$67,"emissions1",'6.1_Resultados Illes Balears'!E$71:E151)+DSUM('1_Combustibles fósiles'!$E$47:$U$67,"emissions2",'6.1_Resultados Illes Balears'!E$71:E151))/1000)-SUM(G$72:G150)</f>
        <v>0</v>
      </c>
      <c r="H151" s="397">
        <f>(DSUM('2_Fluorados'!$E$11:$P$33,"emissions",'6.1_Resultados Illes Balears'!E$71:E151)/1000)-SUM(H$72:H150)</f>
        <v>0</v>
      </c>
      <c r="I151" s="503">
        <f>(DSUM('3_Emisiones proceso'!$E$13:$K$35,"emissions",'6.1_Resultados Illes Balears'!E$71:E151)/1000)-SUM(I$72:I150)</f>
        <v>0</v>
      </c>
      <c r="J151" s="503"/>
      <c r="K151" s="504">
        <f t="shared" si="2"/>
        <v>0</v>
      </c>
      <c r="L151" s="504"/>
      <c r="M151" s="504"/>
      <c r="N151" s="503">
        <f>((DSUM('4.1_Electricidad Illes Balears'!$E$20:$J$42,"emisiones",'6.1_Resultados Illes Balears'!E$71:E151)+DSUM('4.1_Electricidad Illes Balears'!$E$50:$K$70,"emisiones",'6.1_Resultados Illes Balears'!E$71:E151))/1000)-SUM(N$72:N150)</f>
        <v>0</v>
      </c>
      <c r="O151" s="504"/>
      <c r="P151" s="504">
        <f t="shared" si="3"/>
        <v>0</v>
      </c>
      <c r="Q151" s="504"/>
      <c r="R151" s="504"/>
    </row>
    <row r="152" spans="5:18" x14ac:dyDescent="0.3">
      <c r="E152" s="195" t="str">
        <f>IF(Dades!E742="","",Dades!E742)</f>
        <v/>
      </c>
      <c r="F152" s="397">
        <f>(DSUM('1_Combustibles fósiles'!$E$17:$N$39,"emissions",'6.1_Resultados Illes Balears'!E$71:E152)/1000)-SUM(F$72:F151)</f>
        <v>0</v>
      </c>
      <c r="G152" s="397">
        <f>((DSUM('1_Combustibles fósiles'!$E$47:$U$67,"emissions1",'6.1_Resultados Illes Balears'!E$71:E152)+DSUM('1_Combustibles fósiles'!$E$47:$U$67,"emissions2",'6.1_Resultados Illes Balears'!E$71:E152))/1000)-SUM(G$72:G151)</f>
        <v>0</v>
      </c>
      <c r="H152" s="397">
        <f>(DSUM('2_Fluorados'!$E$11:$P$33,"emissions",'6.1_Resultados Illes Balears'!E$71:E152)/1000)-SUM(H$72:H151)</f>
        <v>0</v>
      </c>
      <c r="I152" s="503">
        <f>(DSUM('3_Emisiones proceso'!$E$13:$K$35,"emissions",'6.1_Resultados Illes Balears'!E$71:E152)/1000)-SUM(I$72:I151)</f>
        <v>0</v>
      </c>
      <c r="J152" s="503"/>
      <c r="K152" s="504">
        <f t="shared" si="2"/>
        <v>0</v>
      </c>
      <c r="L152" s="504"/>
      <c r="M152" s="504"/>
      <c r="N152" s="503">
        <f>((DSUM('4.1_Electricidad Illes Balears'!$E$20:$J$42,"emisiones",'6.1_Resultados Illes Balears'!E$71:E152)+DSUM('4.1_Electricidad Illes Balears'!$E$50:$K$70,"emisiones",'6.1_Resultados Illes Balears'!E$71:E152))/1000)-SUM(N$72:N151)</f>
        <v>0</v>
      </c>
      <c r="O152" s="504"/>
      <c r="P152" s="504">
        <f t="shared" si="3"/>
        <v>0</v>
      </c>
      <c r="Q152" s="504"/>
      <c r="R152" s="504"/>
    </row>
    <row r="153" spans="5:18" x14ac:dyDescent="0.3">
      <c r="E153" s="195" t="str">
        <f>IF(Dades!E743="","",Dades!E743)</f>
        <v/>
      </c>
      <c r="F153" s="397">
        <f>(DSUM('1_Combustibles fósiles'!$E$17:$N$39,"emissions",'6.1_Resultados Illes Balears'!E$71:E153)/1000)-SUM(F$72:F152)</f>
        <v>0</v>
      </c>
      <c r="G153" s="397">
        <f>((DSUM('1_Combustibles fósiles'!$E$47:$U$67,"emissions1",'6.1_Resultados Illes Balears'!E$71:E153)+DSUM('1_Combustibles fósiles'!$E$47:$U$67,"emissions2",'6.1_Resultados Illes Balears'!E$71:E153))/1000)-SUM(G$72:G152)</f>
        <v>0</v>
      </c>
      <c r="H153" s="397">
        <f>(DSUM('2_Fluorados'!$E$11:$P$33,"emissions",'6.1_Resultados Illes Balears'!E$71:E153)/1000)-SUM(H$72:H152)</f>
        <v>0</v>
      </c>
      <c r="I153" s="503">
        <f>(DSUM('3_Emisiones proceso'!$E$13:$K$35,"emissions",'6.1_Resultados Illes Balears'!E$71:E153)/1000)-SUM(I$72:I152)</f>
        <v>0</v>
      </c>
      <c r="J153" s="503"/>
      <c r="K153" s="504">
        <f t="shared" si="2"/>
        <v>0</v>
      </c>
      <c r="L153" s="504"/>
      <c r="M153" s="504"/>
      <c r="N153" s="503">
        <f>((DSUM('4.1_Electricidad Illes Balears'!$E$20:$J$42,"emisiones",'6.1_Resultados Illes Balears'!E$71:E153)+DSUM('4.1_Electricidad Illes Balears'!$E$50:$K$70,"emisiones",'6.1_Resultados Illes Balears'!E$71:E153))/1000)-SUM(N$72:N152)</f>
        <v>0</v>
      </c>
      <c r="O153" s="504"/>
      <c r="P153" s="504">
        <f t="shared" si="3"/>
        <v>0</v>
      </c>
      <c r="Q153" s="504"/>
      <c r="R153" s="504"/>
    </row>
    <row r="154" spans="5:18" x14ac:dyDescent="0.3">
      <c r="E154" s="195" t="str">
        <f>IF(Dades!E744="","",Dades!E744)</f>
        <v/>
      </c>
      <c r="F154" s="397">
        <f>(DSUM('1_Combustibles fósiles'!$E$17:$N$39,"emissions",'6.1_Resultados Illes Balears'!E$71:E154)/1000)-SUM(F$72:F153)</f>
        <v>0</v>
      </c>
      <c r="G154" s="397">
        <f>((DSUM('1_Combustibles fósiles'!$E$47:$U$67,"emissions1",'6.1_Resultados Illes Balears'!E$71:E154)+DSUM('1_Combustibles fósiles'!$E$47:$U$67,"emissions2",'6.1_Resultados Illes Balears'!E$71:E154))/1000)-SUM(G$72:G153)</f>
        <v>0</v>
      </c>
      <c r="H154" s="397">
        <f>(DSUM('2_Fluorados'!$E$11:$P$33,"emissions",'6.1_Resultados Illes Balears'!E$71:E154)/1000)-SUM(H$72:H153)</f>
        <v>0</v>
      </c>
      <c r="I154" s="503">
        <f>(DSUM('3_Emisiones proceso'!$E$13:$K$35,"emissions",'6.1_Resultados Illes Balears'!E$71:E154)/1000)-SUM(I$72:I153)</f>
        <v>0</v>
      </c>
      <c r="J154" s="503"/>
      <c r="K154" s="504">
        <f t="shared" si="2"/>
        <v>0</v>
      </c>
      <c r="L154" s="504"/>
      <c r="M154" s="504"/>
      <c r="N154" s="503">
        <f>((DSUM('4.1_Electricidad Illes Balears'!$E$20:$J$42,"emisiones",'6.1_Resultados Illes Balears'!E$71:E154)+DSUM('4.1_Electricidad Illes Balears'!$E$50:$K$70,"emisiones",'6.1_Resultados Illes Balears'!E$71:E154))/1000)-SUM(N$72:N153)</f>
        <v>0</v>
      </c>
      <c r="O154" s="504"/>
      <c r="P154" s="504">
        <f t="shared" si="3"/>
        <v>0</v>
      </c>
      <c r="Q154" s="504"/>
      <c r="R154" s="504"/>
    </row>
    <row r="155" spans="5:18" x14ac:dyDescent="0.3">
      <c r="E155" s="195" t="str">
        <f>IF(Dades!E745="","",Dades!E745)</f>
        <v/>
      </c>
      <c r="F155" s="397">
        <f>(DSUM('1_Combustibles fósiles'!$E$17:$N$39,"emissions",'6.1_Resultados Illes Balears'!E$71:E155)/1000)-SUM(F$72:F154)</f>
        <v>0</v>
      </c>
      <c r="G155" s="397">
        <f>((DSUM('1_Combustibles fósiles'!$E$47:$U$67,"emissions1",'6.1_Resultados Illes Balears'!E$71:E155)+DSUM('1_Combustibles fósiles'!$E$47:$U$67,"emissions2",'6.1_Resultados Illes Balears'!E$71:E155))/1000)-SUM(G$72:G154)</f>
        <v>0</v>
      </c>
      <c r="H155" s="397">
        <f>(DSUM('2_Fluorados'!$E$11:$P$33,"emissions",'6.1_Resultados Illes Balears'!E$71:E155)/1000)-SUM(H$72:H154)</f>
        <v>0</v>
      </c>
      <c r="I155" s="503">
        <f>(DSUM('3_Emisiones proceso'!$E$13:$K$35,"emissions",'6.1_Resultados Illes Balears'!E$71:E155)/1000)-SUM(I$72:I154)</f>
        <v>0</v>
      </c>
      <c r="J155" s="503"/>
      <c r="K155" s="504">
        <f t="shared" si="2"/>
        <v>0</v>
      </c>
      <c r="L155" s="504"/>
      <c r="M155" s="504"/>
      <c r="N155" s="503">
        <f>((DSUM('4.1_Electricidad Illes Balears'!$E$20:$J$42,"emisiones",'6.1_Resultados Illes Balears'!E$71:E155)+DSUM('4.1_Electricidad Illes Balears'!$E$50:$K$70,"emisiones",'6.1_Resultados Illes Balears'!E$71:E155))/1000)-SUM(N$72:N154)</f>
        <v>0</v>
      </c>
      <c r="O155" s="504"/>
      <c r="P155" s="504">
        <f t="shared" si="3"/>
        <v>0</v>
      </c>
      <c r="Q155" s="504"/>
      <c r="R155" s="504"/>
    </row>
    <row r="156" spans="5:18" x14ac:dyDescent="0.3">
      <c r="E156" s="195" t="str">
        <f>IF(Dades!E746="","",Dades!E746)</f>
        <v/>
      </c>
      <c r="F156" s="397">
        <f>(DSUM('1_Combustibles fósiles'!$E$17:$N$39,"emissions",'6.1_Resultados Illes Balears'!E$71:E156)/1000)-SUM(F$72:F155)</f>
        <v>0</v>
      </c>
      <c r="G156" s="397">
        <f>((DSUM('1_Combustibles fósiles'!$E$47:$U$67,"emissions1",'6.1_Resultados Illes Balears'!E$71:E156)+DSUM('1_Combustibles fósiles'!$E$47:$U$67,"emissions2",'6.1_Resultados Illes Balears'!E$71:E156))/1000)-SUM(G$72:G155)</f>
        <v>0</v>
      </c>
      <c r="H156" s="397">
        <f>(DSUM('2_Fluorados'!$E$11:$P$33,"emissions",'6.1_Resultados Illes Balears'!E$71:E156)/1000)-SUM(H$72:H155)</f>
        <v>0</v>
      </c>
      <c r="I156" s="503">
        <f>(DSUM('3_Emisiones proceso'!$E$13:$K$35,"emissions",'6.1_Resultados Illes Balears'!E$71:E156)/1000)-SUM(I$72:I155)</f>
        <v>0</v>
      </c>
      <c r="J156" s="503"/>
      <c r="K156" s="504">
        <f t="shared" si="2"/>
        <v>0</v>
      </c>
      <c r="L156" s="504"/>
      <c r="M156" s="504"/>
      <c r="N156" s="503">
        <f>((DSUM('4.1_Electricidad Illes Balears'!$E$20:$J$42,"emisiones",'6.1_Resultados Illes Balears'!E$71:E156)+DSUM('4.1_Electricidad Illes Balears'!$E$50:$K$70,"emisiones",'6.1_Resultados Illes Balears'!E$71:E156))/1000)-SUM(N$72:N155)</f>
        <v>0</v>
      </c>
      <c r="O156" s="504"/>
      <c r="P156" s="504">
        <f t="shared" si="3"/>
        <v>0</v>
      </c>
      <c r="Q156" s="504"/>
      <c r="R156" s="504"/>
    </row>
    <row r="157" spans="5:18" x14ac:dyDescent="0.3">
      <c r="E157" s="195" t="str">
        <f>IF(Dades!E747="","",Dades!E747)</f>
        <v/>
      </c>
      <c r="F157" s="397">
        <f>(DSUM('1_Combustibles fósiles'!$E$17:$N$39,"emissions",'6.1_Resultados Illes Balears'!E$71:E157)/1000)-SUM(F$72:F156)</f>
        <v>0</v>
      </c>
      <c r="G157" s="397">
        <f>((DSUM('1_Combustibles fósiles'!$E$47:$U$67,"emissions1",'6.1_Resultados Illes Balears'!E$71:E157)+DSUM('1_Combustibles fósiles'!$E$47:$U$67,"emissions2",'6.1_Resultados Illes Balears'!E$71:E157))/1000)-SUM(G$72:G156)</f>
        <v>0</v>
      </c>
      <c r="H157" s="397">
        <f>(DSUM('2_Fluorados'!$E$11:$P$33,"emissions",'6.1_Resultados Illes Balears'!E$71:E157)/1000)-SUM(H$72:H156)</f>
        <v>0</v>
      </c>
      <c r="I157" s="503">
        <f>(DSUM('3_Emisiones proceso'!$E$13:$K$35,"emissions",'6.1_Resultados Illes Balears'!E$71:E157)/1000)-SUM(I$72:I156)</f>
        <v>0</v>
      </c>
      <c r="J157" s="503"/>
      <c r="K157" s="504">
        <f t="shared" si="2"/>
        <v>0</v>
      </c>
      <c r="L157" s="504"/>
      <c r="M157" s="504"/>
      <c r="N157" s="503">
        <f>((DSUM('4.1_Electricidad Illes Balears'!$E$20:$J$42,"emisiones",'6.1_Resultados Illes Balears'!E$71:E157)+DSUM('4.1_Electricidad Illes Balears'!$E$50:$K$70,"emisiones",'6.1_Resultados Illes Balears'!E$71:E157))/1000)-SUM(N$72:N156)</f>
        <v>0</v>
      </c>
      <c r="O157" s="504"/>
      <c r="P157" s="504">
        <f t="shared" si="3"/>
        <v>0</v>
      </c>
      <c r="Q157" s="504"/>
      <c r="R157" s="504"/>
    </row>
    <row r="158" spans="5:18" x14ac:dyDescent="0.3">
      <c r="E158" s="195" t="str">
        <f>IF(Dades!E748="","",Dades!E748)</f>
        <v/>
      </c>
      <c r="F158" s="397">
        <f>(DSUM('1_Combustibles fósiles'!$E$17:$N$39,"emissions",'6.1_Resultados Illes Balears'!E$71:E158)/1000)-SUM(F$72:F157)</f>
        <v>0</v>
      </c>
      <c r="G158" s="397">
        <f>((DSUM('1_Combustibles fósiles'!$E$47:$U$67,"emissions1",'6.1_Resultados Illes Balears'!E$71:E158)+DSUM('1_Combustibles fósiles'!$E$47:$U$67,"emissions2",'6.1_Resultados Illes Balears'!E$71:E158))/1000)-SUM(G$72:G157)</f>
        <v>0</v>
      </c>
      <c r="H158" s="397">
        <f>(DSUM('2_Fluorados'!$E$11:$P$33,"emissions",'6.1_Resultados Illes Balears'!E$71:E158)/1000)-SUM(H$72:H157)</f>
        <v>0</v>
      </c>
      <c r="I158" s="503">
        <f>(DSUM('3_Emisiones proceso'!$E$13:$K$35,"emissions",'6.1_Resultados Illes Balears'!E$71:E158)/1000)-SUM(I$72:I157)</f>
        <v>0</v>
      </c>
      <c r="J158" s="503"/>
      <c r="K158" s="504">
        <f t="shared" si="2"/>
        <v>0</v>
      </c>
      <c r="L158" s="504"/>
      <c r="M158" s="504"/>
      <c r="N158" s="503">
        <f>((DSUM('4.1_Electricidad Illes Balears'!$E$20:$J$42,"emisiones",'6.1_Resultados Illes Balears'!E$71:E158)+DSUM('4.1_Electricidad Illes Balears'!$E$50:$K$70,"emisiones",'6.1_Resultados Illes Balears'!E$71:E158))/1000)-SUM(N$72:N157)</f>
        <v>0</v>
      </c>
      <c r="O158" s="504"/>
      <c r="P158" s="504">
        <f t="shared" si="3"/>
        <v>0</v>
      </c>
      <c r="Q158" s="504"/>
      <c r="R158" s="504"/>
    </row>
    <row r="159" spans="5:18" x14ac:dyDescent="0.3">
      <c r="E159" s="195" t="str">
        <f>IF(Dades!E749="","",Dades!E749)</f>
        <v/>
      </c>
      <c r="F159" s="397">
        <f>(DSUM('1_Combustibles fósiles'!$E$17:$N$39,"emissions",'6.1_Resultados Illes Balears'!E$71:E159)/1000)-SUM(F$72:F158)</f>
        <v>0</v>
      </c>
      <c r="G159" s="397">
        <f>((DSUM('1_Combustibles fósiles'!$E$47:$U$67,"emissions1",'6.1_Resultados Illes Balears'!E$71:E159)+DSUM('1_Combustibles fósiles'!$E$47:$U$67,"emissions2",'6.1_Resultados Illes Balears'!E$71:E159))/1000)-SUM(G$72:G158)</f>
        <v>0</v>
      </c>
      <c r="H159" s="397">
        <f>(DSUM('2_Fluorados'!$E$11:$P$33,"emissions",'6.1_Resultados Illes Balears'!E$71:E159)/1000)-SUM(H$72:H158)</f>
        <v>0</v>
      </c>
      <c r="I159" s="503">
        <f>(DSUM('3_Emisiones proceso'!$E$13:$K$35,"emissions",'6.1_Resultados Illes Balears'!E$71:E159)/1000)-SUM(I$72:I158)</f>
        <v>0</v>
      </c>
      <c r="J159" s="503"/>
      <c r="K159" s="504">
        <f t="shared" si="2"/>
        <v>0</v>
      </c>
      <c r="L159" s="504"/>
      <c r="M159" s="504"/>
      <c r="N159" s="503">
        <f>((DSUM('4.1_Electricidad Illes Balears'!$E$20:$J$42,"emisiones",'6.1_Resultados Illes Balears'!E$71:E159)+DSUM('4.1_Electricidad Illes Balears'!$E$50:$K$70,"emisiones",'6.1_Resultados Illes Balears'!E$71:E159))/1000)-SUM(N$72:N158)</f>
        <v>0</v>
      </c>
      <c r="O159" s="504"/>
      <c r="P159" s="504">
        <f t="shared" si="3"/>
        <v>0</v>
      </c>
      <c r="Q159" s="504"/>
      <c r="R159" s="504"/>
    </row>
    <row r="160" spans="5:18" x14ac:dyDescent="0.3">
      <c r="E160" s="195" t="str">
        <f>IF(Dades!E750="","",Dades!E750)</f>
        <v/>
      </c>
      <c r="F160" s="397">
        <f>(DSUM('1_Combustibles fósiles'!$E$17:$N$39,"emissions",'6.1_Resultados Illes Balears'!E$71:E160)/1000)-SUM(F$72:F159)</f>
        <v>0</v>
      </c>
      <c r="G160" s="397">
        <f>((DSUM('1_Combustibles fósiles'!$E$47:$U$67,"emissions1",'6.1_Resultados Illes Balears'!E$71:E160)+DSUM('1_Combustibles fósiles'!$E$47:$U$67,"emissions2",'6.1_Resultados Illes Balears'!E$71:E160))/1000)-SUM(G$72:G159)</f>
        <v>0</v>
      </c>
      <c r="H160" s="397">
        <f>(DSUM('2_Fluorados'!$E$11:$P$33,"emissions",'6.1_Resultados Illes Balears'!E$71:E160)/1000)-SUM(H$72:H159)</f>
        <v>0</v>
      </c>
      <c r="I160" s="503">
        <f>(DSUM('3_Emisiones proceso'!$E$13:$K$35,"emissions",'6.1_Resultados Illes Balears'!E$71:E160)/1000)-SUM(I$72:I159)</f>
        <v>0</v>
      </c>
      <c r="J160" s="503"/>
      <c r="K160" s="504">
        <f t="shared" si="2"/>
        <v>0</v>
      </c>
      <c r="L160" s="504"/>
      <c r="M160" s="504"/>
      <c r="N160" s="503">
        <f>((DSUM('4.1_Electricidad Illes Balears'!$E$20:$J$42,"emisiones",'6.1_Resultados Illes Balears'!E$71:E160)+DSUM('4.1_Electricidad Illes Balears'!$E$50:$K$70,"emisiones",'6.1_Resultados Illes Balears'!E$71:E160))/1000)-SUM(N$72:N159)</f>
        <v>0</v>
      </c>
      <c r="O160" s="504"/>
      <c r="P160" s="504">
        <f t="shared" si="3"/>
        <v>0</v>
      </c>
      <c r="Q160" s="504"/>
      <c r="R160" s="504"/>
    </row>
    <row r="161" spans="5:18" x14ac:dyDescent="0.3">
      <c r="E161" s="195" t="str">
        <f>IF(Dades!E751="","",Dades!E751)</f>
        <v/>
      </c>
      <c r="F161" s="397">
        <f>(DSUM('1_Combustibles fósiles'!$E$17:$N$39,"emissions",'6.1_Resultados Illes Balears'!E$71:E161)/1000)-SUM(F$72:F160)</f>
        <v>0</v>
      </c>
      <c r="G161" s="397">
        <f>((DSUM('1_Combustibles fósiles'!$E$47:$U$67,"emissions1",'6.1_Resultados Illes Balears'!E$71:E161)+DSUM('1_Combustibles fósiles'!$E$47:$U$67,"emissions2",'6.1_Resultados Illes Balears'!E$71:E161))/1000)-SUM(G$72:G160)</f>
        <v>0</v>
      </c>
      <c r="H161" s="397">
        <f>(DSUM('2_Fluorados'!$E$11:$P$33,"emissions",'6.1_Resultados Illes Balears'!E$71:E161)/1000)-SUM(H$72:H160)</f>
        <v>0</v>
      </c>
      <c r="I161" s="503">
        <f>(DSUM('3_Emisiones proceso'!$E$13:$K$35,"emissions",'6.1_Resultados Illes Balears'!E$71:E161)/1000)-SUM(I$72:I160)</f>
        <v>0</v>
      </c>
      <c r="J161" s="503"/>
      <c r="K161" s="504">
        <f t="shared" si="2"/>
        <v>0</v>
      </c>
      <c r="L161" s="504"/>
      <c r="M161" s="504"/>
      <c r="N161" s="503">
        <f>((DSUM('4.1_Electricidad Illes Balears'!$E$20:$J$42,"emisiones",'6.1_Resultados Illes Balears'!E$71:E161)+DSUM('4.1_Electricidad Illes Balears'!$E$50:$K$70,"emisiones",'6.1_Resultados Illes Balears'!E$71:E161))/1000)-SUM(N$72:N160)</f>
        <v>0</v>
      </c>
      <c r="O161" s="504"/>
      <c r="P161" s="504">
        <f t="shared" si="3"/>
        <v>0</v>
      </c>
      <c r="Q161" s="504"/>
      <c r="R161" s="504"/>
    </row>
    <row r="162" spans="5:18" x14ac:dyDescent="0.3">
      <c r="E162" s="195" t="str">
        <f>IF(Dades!E752="","",Dades!E752)</f>
        <v/>
      </c>
      <c r="F162" s="397">
        <f>(DSUM('1_Combustibles fósiles'!$E$17:$N$39,"emissions",'6.1_Resultados Illes Balears'!E$71:E162)/1000)-SUM(F$72:F161)</f>
        <v>0</v>
      </c>
      <c r="G162" s="397">
        <f>((DSUM('1_Combustibles fósiles'!$E$47:$U$67,"emissions1",'6.1_Resultados Illes Balears'!E$71:E162)+DSUM('1_Combustibles fósiles'!$E$47:$U$67,"emissions2",'6.1_Resultados Illes Balears'!E$71:E162))/1000)-SUM(G$72:G161)</f>
        <v>0</v>
      </c>
      <c r="H162" s="397">
        <f>(DSUM('2_Fluorados'!$E$11:$P$33,"emissions",'6.1_Resultados Illes Balears'!E$71:E162)/1000)-SUM(H$72:H161)</f>
        <v>0</v>
      </c>
      <c r="I162" s="503">
        <f>(DSUM('3_Emisiones proceso'!$E$13:$K$35,"emissions",'6.1_Resultados Illes Balears'!E$71:E162)/1000)-SUM(I$72:I161)</f>
        <v>0</v>
      </c>
      <c r="J162" s="503"/>
      <c r="K162" s="504">
        <f t="shared" si="2"/>
        <v>0</v>
      </c>
      <c r="L162" s="504"/>
      <c r="M162" s="504"/>
      <c r="N162" s="503">
        <f>((DSUM('4.1_Electricidad Illes Balears'!$E$20:$J$42,"emisiones",'6.1_Resultados Illes Balears'!E$71:E162)+DSUM('4.1_Electricidad Illes Balears'!$E$50:$K$70,"emisiones",'6.1_Resultados Illes Balears'!E$71:E162))/1000)-SUM(N$72:N161)</f>
        <v>0</v>
      </c>
      <c r="O162" s="504"/>
      <c r="P162" s="504">
        <f t="shared" si="3"/>
        <v>0</v>
      </c>
      <c r="Q162" s="504"/>
      <c r="R162" s="504"/>
    </row>
    <row r="163" spans="5:18" x14ac:dyDescent="0.3">
      <c r="E163" s="195" t="str">
        <f>IF(Dades!E753="","",Dades!E753)</f>
        <v/>
      </c>
      <c r="F163" s="397">
        <f>(DSUM('1_Combustibles fósiles'!$E$17:$N$39,"emissions",'6.1_Resultados Illes Balears'!E$71:E163)/1000)-SUM(F$72:F162)</f>
        <v>0</v>
      </c>
      <c r="G163" s="397">
        <f>((DSUM('1_Combustibles fósiles'!$E$47:$U$67,"emissions1",'6.1_Resultados Illes Balears'!E$71:E163)+DSUM('1_Combustibles fósiles'!$E$47:$U$67,"emissions2",'6.1_Resultados Illes Balears'!E$71:E163))/1000)-SUM(G$72:G162)</f>
        <v>0</v>
      </c>
      <c r="H163" s="397">
        <f>(DSUM('2_Fluorados'!$E$11:$P$33,"emissions",'6.1_Resultados Illes Balears'!E$71:E163)/1000)-SUM(H$72:H162)</f>
        <v>0</v>
      </c>
      <c r="I163" s="503">
        <f>(DSUM('3_Emisiones proceso'!$E$13:$K$35,"emissions",'6.1_Resultados Illes Balears'!E$71:E163)/1000)-SUM(I$72:I162)</f>
        <v>0</v>
      </c>
      <c r="J163" s="503"/>
      <c r="K163" s="504">
        <f t="shared" si="2"/>
        <v>0</v>
      </c>
      <c r="L163" s="504"/>
      <c r="M163" s="504"/>
      <c r="N163" s="503">
        <f>((DSUM('4.1_Electricidad Illes Balears'!$E$20:$J$42,"emisiones",'6.1_Resultados Illes Balears'!E$71:E163)+DSUM('4.1_Electricidad Illes Balears'!$E$50:$K$70,"emisiones",'6.1_Resultados Illes Balears'!E$71:E163))/1000)-SUM(N$72:N162)</f>
        <v>0</v>
      </c>
      <c r="O163" s="504"/>
      <c r="P163" s="504">
        <f t="shared" si="3"/>
        <v>0</v>
      </c>
      <c r="Q163" s="504"/>
      <c r="R163" s="504"/>
    </row>
    <row r="164" spans="5:18" x14ac:dyDescent="0.3">
      <c r="E164" s="195" t="str">
        <f>IF(Dades!E754="","",Dades!E754)</f>
        <v/>
      </c>
      <c r="F164" s="397">
        <f>(DSUM('1_Combustibles fósiles'!$E$17:$N$39,"emissions",'6.1_Resultados Illes Balears'!E$71:E164)/1000)-SUM(F$72:F163)</f>
        <v>0</v>
      </c>
      <c r="G164" s="397">
        <f>((DSUM('1_Combustibles fósiles'!$E$47:$U$67,"emissions1",'6.1_Resultados Illes Balears'!E$71:E164)+DSUM('1_Combustibles fósiles'!$E$47:$U$67,"emissions2",'6.1_Resultados Illes Balears'!E$71:E164))/1000)-SUM(G$72:G163)</f>
        <v>0</v>
      </c>
      <c r="H164" s="397">
        <f>(DSUM('2_Fluorados'!$E$11:$P$33,"emissions",'6.1_Resultados Illes Balears'!E$71:E164)/1000)-SUM(H$72:H163)</f>
        <v>0</v>
      </c>
      <c r="I164" s="503">
        <f>(DSUM('3_Emisiones proceso'!$E$13:$K$35,"emissions",'6.1_Resultados Illes Balears'!E$71:E164)/1000)-SUM(I$72:I163)</f>
        <v>0</v>
      </c>
      <c r="J164" s="503"/>
      <c r="K164" s="504">
        <f t="shared" si="2"/>
        <v>0</v>
      </c>
      <c r="L164" s="504"/>
      <c r="M164" s="504"/>
      <c r="N164" s="503">
        <f>((DSUM('4.1_Electricidad Illes Balears'!$E$20:$J$42,"emisiones",'6.1_Resultados Illes Balears'!E$71:E164)+DSUM('4.1_Electricidad Illes Balears'!$E$50:$K$70,"emisiones",'6.1_Resultados Illes Balears'!E$71:E164))/1000)-SUM(N$72:N163)</f>
        <v>0</v>
      </c>
      <c r="O164" s="504"/>
      <c r="P164" s="504">
        <f t="shared" si="3"/>
        <v>0</v>
      </c>
      <c r="Q164" s="504"/>
      <c r="R164" s="504"/>
    </row>
    <row r="165" spans="5:18" x14ac:dyDescent="0.3">
      <c r="E165" s="195" t="str">
        <f>IF(Dades!E755="","",Dades!E755)</f>
        <v/>
      </c>
      <c r="F165" s="397">
        <f>(DSUM('1_Combustibles fósiles'!$E$17:$N$39,"emissions",'6.1_Resultados Illes Balears'!E$71:E165)/1000)-SUM(F$72:F164)</f>
        <v>0</v>
      </c>
      <c r="G165" s="397">
        <f>((DSUM('1_Combustibles fósiles'!$E$47:$U$67,"emissions1",'6.1_Resultados Illes Balears'!E$71:E165)+DSUM('1_Combustibles fósiles'!$E$47:$U$67,"emissions2",'6.1_Resultados Illes Balears'!E$71:E165))/1000)-SUM(G$72:G164)</f>
        <v>0</v>
      </c>
      <c r="H165" s="397">
        <f>(DSUM('2_Fluorados'!$E$11:$P$33,"emissions",'6.1_Resultados Illes Balears'!E$71:E165)/1000)-SUM(H$72:H164)</f>
        <v>0</v>
      </c>
      <c r="I165" s="503">
        <f>(DSUM('3_Emisiones proceso'!$E$13:$K$35,"emissions",'6.1_Resultados Illes Balears'!E$71:E165)/1000)-SUM(I$72:I164)</f>
        <v>0</v>
      </c>
      <c r="J165" s="503"/>
      <c r="K165" s="504">
        <f t="shared" si="2"/>
        <v>0</v>
      </c>
      <c r="L165" s="504"/>
      <c r="M165" s="504"/>
      <c r="N165" s="503">
        <f>((DSUM('4.1_Electricidad Illes Balears'!$E$20:$J$42,"emisiones",'6.1_Resultados Illes Balears'!E$71:E165)+DSUM('4.1_Electricidad Illes Balears'!$E$50:$K$70,"emisiones",'6.1_Resultados Illes Balears'!E$71:E165))/1000)-SUM(N$72:N164)</f>
        <v>0</v>
      </c>
      <c r="O165" s="504"/>
      <c r="P165" s="504">
        <f t="shared" si="3"/>
        <v>0</v>
      </c>
      <c r="Q165" s="504"/>
      <c r="R165" s="504"/>
    </row>
    <row r="166" spans="5:18" x14ac:dyDescent="0.3">
      <c r="E166" s="195" t="str">
        <f>IF(Dades!E756="","",Dades!E756)</f>
        <v/>
      </c>
      <c r="F166" s="397">
        <f>(DSUM('1_Combustibles fósiles'!$E$17:$N$39,"emissions",'6.1_Resultados Illes Balears'!E$71:E166)/1000)-SUM(F$72:F165)</f>
        <v>0</v>
      </c>
      <c r="G166" s="397">
        <f>((DSUM('1_Combustibles fósiles'!$E$47:$U$67,"emissions1",'6.1_Resultados Illes Balears'!E$71:E166)+DSUM('1_Combustibles fósiles'!$E$47:$U$67,"emissions2",'6.1_Resultados Illes Balears'!E$71:E166))/1000)-SUM(G$72:G165)</f>
        <v>0</v>
      </c>
      <c r="H166" s="397">
        <f>(DSUM('2_Fluorados'!$E$11:$P$33,"emissions",'6.1_Resultados Illes Balears'!E$71:E166)/1000)-SUM(H$72:H165)</f>
        <v>0</v>
      </c>
      <c r="I166" s="503">
        <f>(DSUM('3_Emisiones proceso'!$E$13:$K$35,"emissions",'6.1_Resultados Illes Balears'!E$71:E166)/1000)-SUM(I$72:I165)</f>
        <v>0</v>
      </c>
      <c r="J166" s="503"/>
      <c r="K166" s="504">
        <f t="shared" si="2"/>
        <v>0</v>
      </c>
      <c r="L166" s="504"/>
      <c r="M166" s="504"/>
      <c r="N166" s="503">
        <f>((DSUM('4.1_Electricidad Illes Balears'!$E$20:$J$42,"emisiones",'6.1_Resultados Illes Balears'!E$71:E166)+DSUM('4.1_Electricidad Illes Balears'!$E$50:$K$70,"emisiones",'6.1_Resultados Illes Balears'!E$71:E166))/1000)-SUM(N$72:N165)</f>
        <v>0</v>
      </c>
      <c r="O166" s="504"/>
      <c r="P166" s="504">
        <f t="shared" si="3"/>
        <v>0</v>
      </c>
      <c r="Q166" s="504"/>
      <c r="R166" s="504"/>
    </row>
    <row r="167" spans="5:18" x14ac:dyDescent="0.3">
      <c r="E167" s="195" t="str">
        <f>IF(Dades!E757="","",Dades!E757)</f>
        <v/>
      </c>
      <c r="F167" s="397">
        <f>(DSUM('1_Combustibles fósiles'!$E$17:$N$39,"emissions",'6.1_Resultados Illes Balears'!E$71:E167)/1000)-SUM(F$72:F166)</f>
        <v>0</v>
      </c>
      <c r="G167" s="397">
        <f>((DSUM('1_Combustibles fósiles'!$E$47:$U$67,"emissions1",'6.1_Resultados Illes Balears'!E$71:E167)+DSUM('1_Combustibles fósiles'!$E$47:$U$67,"emissions2",'6.1_Resultados Illes Balears'!E$71:E167))/1000)-SUM(G$72:G166)</f>
        <v>0</v>
      </c>
      <c r="H167" s="397">
        <f>(DSUM('2_Fluorados'!$E$11:$P$33,"emissions",'6.1_Resultados Illes Balears'!E$71:E167)/1000)-SUM(H$72:H166)</f>
        <v>0</v>
      </c>
      <c r="I167" s="503">
        <f>(DSUM('3_Emisiones proceso'!$E$13:$K$35,"emissions",'6.1_Resultados Illes Balears'!E$71:E167)/1000)-SUM(I$72:I166)</f>
        <v>0</v>
      </c>
      <c r="J167" s="503"/>
      <c r="K167" s="504">
        <f t="shared" si="2"/>
        <v>0</v>
      </c>
      <c r="L167" s="504"/>
      <c r="M167" s="504"/>
      <c r="N167" s="503">
        <f>((DSUM('4.1_Electricidad Illes Balears'!$E$20:$J$42,"emisiones",'6.1_Resultados Illes Balears'!E$71:E167)+DSUM('4.1_Electricidad Illes Balears'!$E$50:$K$70,"emisiones",'6.1_Resultados Illes Balears'!E$71:E167))/1000)-SUM(N$72:N166)</f>
        <v>0</v>
      </c>
      <c r="O167" s="504"/>
      <c r="P167" s="504">
        <f t="shared" si="3"/>
        <v>0</v>
      </c>
      <c r="Q167" s="504"/>
      <c r="R167" s="504"/>
    </row>
    <row r="168" spans="5:18" x14ac:dyDescent="0.3">
      <c r="E168" s="195" t="str">
        <f>IF(Dades!E758="","",Dades!E758)</f>
        <v/>
      </c>
      <c r="F168" s="397">
        <f>(DSUM('1_Combustibles fósiles'!$E$17:$N$39,"emissions",'6.1_Resultados Illes Balears'!E$71:E168)/1000)-SUM(F$72:F167)</f>
        <v>0</v>
      </c>
      <c r="G168" s="397">
        <f>((DSUM('1_Combustibles fósiles'!$E$47:$U$67,"emissions1",'6.1_Resultados Illes Balears'!E$71:E168)+DSUM('1_Combustibles fósiles'!$E$47:$U$67,"emissions2",'6.1_Resultados Illes Balears'!E$71:E168))/1000)-SUM(G$72:G167)</f>
        <v>0</v>
      </c>
      <c r="H168" s="397">
        <f>(DSUM('2_Fluorados'!$E$11:$P$33,"emissions",'6.1_Resultados Illes Balears'!E$71:E168)/1000)-SUM(H$72:H167)</f>
        <v>0</v>
      </c>
      <c r="I168" s="503">
        <f>(DSUM('3_Emisiones proceso'!$E$13:$K$35,"emissions",'6.1_Resultados Illes Balears'!E$71:E168)/1000)-SUM(I$72:I167)</f>
        <v>0</v>
      </c>
      <c r="J168" s="503"/>
      <c r="K168" s="504">
        <f t="shared" si="2"/>
        <v>0</v>
      </c>
      <c r="L168" s="504"/>
      <c r="M168" s="504"/>
      <c r="N168" s="503">
        <f>((DSUM('4.1_Electricidad Illes Balears'!$E$20:$J$42,"emisiones",'6.1_Resultados Illes Balears'!E$71:E168)+DSUM('4.1_Electricidad Illes Balears'!$E$50:$K$70,"emisiones",'6.1_Resultados Illes Balears'!E$71:E168))/1000)-SUM(N$72:N167)</f>
        <v>0</v>
      </c>
      <c r="O168" s="504"/>
      <c r="P168" s="504">
        <f t="shared" si="3"/>
        <v>0</v>
      </c>
      <c r="Q168" s="504"/>
      <c r="R168" s="504"/>
    </row>
    <row r="169" spans="5:18" x14ac:dyDescent="0.3">
      <c r="E169" s="195" t="str">
        <f>IF(Dades!E759="","",Dades!E759)</f>
        <v/>
      </c>
      <c r="F169" s="397">
        <f>(DSUM('1_Combustibles fósiles'!$E$17:$N$39,"emissions",'6.1_Resultados Illes Balears'!E$71:E169)/1000)-SUM(F$72:F168)</f>
        <v>0</v>
      </c>
      <c r="G169" s="397">
        <f>((DSUM('1_Combustibles fósiles'!$E$47:$U$67,"emissions1",'6.1_Resultados Illes Balears'!E$71:E169)+DSUM('1_Combustibles fósiles'!$E$47:$U$67,"emissions2",'6.1_Resultados Illes Balears'!E$71:E169))/1000)-SUM(G$72:G168)</f>
        <v>0</v>
      </c>
      <c r="H169" s="397">
        <f>(DSUM('2_Fluorados'!$E$11:$P$33,"emissions",'6.1_Resultados Illes Balears'!E$71:E169)/1000)-SUM(H$72:H168)</f>
        <v>0</v>
      </c>
      <c r="I169" s="503">
        <f>(DSUM('3_Emisiones proceso'!$E$13:$K$35,"emissions",'6.1_Resultados Illes Balears'!E$71:E169)/1000)-SUM(I$72:I168)</f>
        <v>0</v>
      </c>
      <c r="J169" s="503"/>
      <c r="K169" s="504">
        <f t="shared" si="2"/>
        <v>0</v>
      </c>
      <c r="L169" s="504"/>
      <c r="M169" s="504"/>
      <c r="N169" s="503">
        <f>((DSUM('4.1_Electricidad Illes Balears'!$E$20:$J$42,"emisiones",'6.1_Resultados Illes Balears'!E$71:E169)+DSUM('4.1_Electricidad Illes Balears'!$E$50:$K$70,"emisiones",'6.1_Resultados Illes Balears'!E$71:E169))/1000)-SUM(N$72:N168)</f>
        <v>0</v>
      </c>
      <c r="O169" s="504"/>
      <c r="P169" s="504">
        <f t="shared" si="3"/>
        <v>0</v>
      </c>
      <c r="Q169" s="504"/>
      <c r="R169" s="504"/>
    </row>
    <row r="170" spans="5:18" x14ac:dyDescent="0.3">
      <c r="E170" s="195" t="str">
        <f>IF(Dades!E760="","",Dades!E760)</f>
        <v/>
      </c>
      <c r="F170" s="397">
        <f>(DSUM('1_Combustibles fósiles'!$E$17:$N$39,"emissions",'6.1_Resultados Illes Balears'!E$71:E170)/1000)-SUM(F$72:F169)</f>
        <v>0</v>
      </c>
      <c r="G170" s="397">
        <f>((DSUM('1_Combustibles fósiles'!$E$47:$U$67,"emissions1",'6.1_Resultados Illes Balears'!E$71:E170)+DSUM('1_Combustibles fósiles'!$E$47:$U$67,"emissions2",'6.1_Resultados Illes Balears'!E$71:E170))/1000)-SUM(G$72:G169)</f>
        <v>0</v>
      </c>
      <c r="H170" s="397">
        <f>(DSUM('2_Fluorados'!$E$11:$P$33,"emissions",'6.1_Resultados Illes Balears'!E$71:E170)/1000)-SUM(H$72:H169)</f>
        <v>0</v>
      </c>
      <c r="I170" s="503">
        <f>(DSUM('3_Emisiones proceso'!$E$13:$K$35,"emissions",'6.1_Resultados Illes Balears'!E$71:E170)/1000)-SUM(I$72:I169)</f>
        <v>0</v>
      </c>
      <c r="J170" s="503"/>
      <c r="K170" s="504">
        <f t="shared" si="2"/>
        <v>0</v>
      </c>
      <c r="L170" s="504"/>
      <c r="M170" s="504"/>
      <c r="N170" s="503">
        <f>((DSUM('4.1_Electricidad Illes Balears'!$E$20:$J$42,"emisiones",'6.1_Resultados Illes Balears'!E$71:E170)+DSUM('4.1_Electricidad Illes Balears'!$E$50:$K$70,"emisiones",'6.1_Resultados Illes Balears'!E$71:E170))/1000)-SUM(N$72:N169)</f>
        <v>0</v>
      </c>
      <c r="O170" s="504"/>
      <c r="P170" s="504">
        <f t="shared" si="3"/>
        <v>0</v>
      </c>
      <c r="Q170" s="504"/>
      <c r="R170" s="504"/>
    </row>
    <row r="171" spans="5:18" x14ac:dyDescent="0.3">
      <c r="E171" s="195" t="str">
        <f>IF(Dades!E761="","",Dades!E761)</f>
        <v/>
      </c>
      <c r="F171" s="397">
        <f>(DSUM('1_Combustibles fósiles'!$E$17:$N$39,"emissions",'6.1_Resultados Illes Balears'!E$71:E171)/1000)-SUM(F$72:F170)</f>
        <v>0</v>
      </c>
      <c r="G171" s="397">
        <f>((DSUM('1_Combustibles fósiles'!$E$47:$U$67,"emissions1",'6.1_Resultados Illes Balears'!E$71:E171)+DSUM('1_Combustibles fósiles'!$E$47:$U$67,"emissions2",'6.1_Resultados Illes Balears'!E$71:E171))/1000)-SUM(G$72:G170)</f>
        <v>0</v>
      </c>
      <c r="H171" s="397">
        <f>(DSUM('2_Fluorados'!$E$11:$P$33,"emissions",'6.1_Resultados Illes Balears'!E$71:E171)/1000)-SUM(H$72:H170)</f>
        <v>0</v>
      </c>
      <c r="I171" s="503">
        <f>(DSUM('3_Emisiones proceso'!$E$13:$K$35,"emissions",'6.1_Resultados Illes Balears'!E$71:E171)/1000)-SUM(I$72:I170)</f>
        <v>0</v>
      </c>
      <c r="J171" s="503"/>
      <c r="K171" s="504">
        <f t="shared" si="2"/>
        <v>0</v>
      </c>
      <c r="L171" s="504"/>
      <c r="M171" s="504"/>
      <c r="N171" s="503">
        <f>((DSUM('4.1_Electricidad Illes Balears'!$E$20:$J$42,"emisiones",'6.1_Resultados Illes Balears'!E$71:E171)+DSUM('4.1_Electricidad Illes Balears'!$E$50:$K$70,"emisiones",'6.1_Resultados Illes Balears'!E$71:E171))/1000)-SUM(N$72:N170)</f>
        <v>0</v>
      </c>
      <c r="O171" s="504"/>
      <c r="P171" s="504">
        <f t="shared" si="3"/>
        <v>0</v>
      </c>
      <c r="Q171" s="504"/>
      <c r="R171" s="504"/>
    </row>
    <row r="172" spans="5:18" x14ac:dyDescent="0.3">
      <c r="E172" s="195" t="str">
        <f>IF(Dades!E762="","",Dades!E762)</f>
        <v/>
      </c>
      <c r="F172" s="397">
        <f>(DSUM('1_Combustibles fósiles'!$E$17:$N$39,"emissions",'6.1_Resultados Illes Balears'!E$71:E172)/1000)-SUM(F$72:F171)</f>
        <v>0</v>
      </c>
      <c r="G172" s="397">
        <f>((DSUM('1_Combustibles fósiles'!$E$47:$U$67,"emissions1",'6.1_Resultados Illes Balears'!E$71:E172)+DSUM('1_Combustibles fósiles'!$E$47:$U$67,"emissions2",'6.1_Resultados Illes Balears'!E$71:E172))/1000)-SUM(G$72:G171)</f>
        <v>0</v>
      </c>
      <c r="H172" s="397">
        <f>(DSUM('2_Fluorados'!$E$11:$P$33,"emissions",'6.1_Resultados Illes Balears'!E$71:E172)/1000)-SUM(H$72:H171)</f>
        <v>0</v>
      </c>
      <c r="I172" s="503">
        <f>(DSUM('3_Emisiones proceso'!$E$13:$K$35,"emissions",'6.1_Resultados Illes Balears'!E$71:E172)/1000)-SUM(I$72:I171)</f>
        <v>0</v>
      </c>
      <c r="J172" s="503"/>
      <c r="K172" s="504">
        <f t="shared" si="2"/>
        <v>0</v>
      </c>
      <c r="L172" s="504"/>
      <c r="M172" s="504"/>
      <c r="N172" s="503">
        <f>((DSUM('4.1_Electricidad Illes Balears'!$E$20:$J$42,"emisiones",'6.1_Resultados Illes Balears'!E$71:E172)+DSUM('4.1_Electricidad Illes Balears'!$E$50:$K$70,"emisiones",'6.1_Resultados Illes Balears'!E$71:E172))/1000)-SUM(N$72:N171)</f>
        <v>0</v>
      </c>
      <c r="O172" s="504"/>
      <c r="P172" s="504">
        <f t="shared" si="3"/>
        <v>0</v>
      </c>
      <c r="Q172" s="504"/>
      <c r="R172" s="504"/>
    </row>
    <row r="173" spans="5:18" x14ac:dyDescent="0.3">
      <c r="E173" s="195" t="str">
        <f>IF(Dades!E763="","",Dades!E763)</f>
        <v/>
      </c>
      <c r="F173" s="397">
        <f>(DSUM('1_Combustibles fósiles'!$E$17:$N$39,"emissions",'6.1_Resultados Illes Balears'!E$71:E173)/1000)-SUM(F$72:F172)</f>
        <v>0</v>
      </c>
      <c r="G173" s="397">
        <f>((DSUM('1_Combustibles fósiles'!$E$47:$U$67,"emissions1",'6.1_Resultados Illes Balears'!E$71:E173)+DSUM('1_Combustibles fósiles'!$E$47:$U$67,"emissions2",'6.1_Resultados Illes Balears'!E$71:E173))/1000)-SUM(G$72:G172)</f>
        <v>0</v>
      </c>
      <c r="H173" s="397">
        <f>(DSUM('2_Fluorados'!$E$11:$P$33,"emissions",'6.1_Resultados Illes Balears'!E$71:E173)/1000)-SUM(H$72:H172)</f>
        <v>0</v>
      </c>
      <c r="I173" s="503">
        <f>(DSUM('3_Emisiones proceso'!$E$13:$K$35,"emissions",'6.1_Resultados Illes Balears'!E$71:E173)/1000)-SUM(I$72:I172)</f>
        <v>0</v>
      </c>
      <c r="J173" s="503"/>
      <c r="K173" s="504">
        <f t="shared" si="2"/>
        <v>0</v>
      </c>
      <c r="L173" s="504"/>
      <c r="M173" s="504"/>
      <c r="N173" s="503">
        <f>((DSUM('4.1_Electricidad Illes Balears'!$E$20:$J$42,"emisiones",'6.1_Resultados Illes Balears'!E$71:E173)+DSUM('4.1_Electricidad Illes Balears'!$E$50:$K$70,"emisiones",'6.1_Resultados Illes Balears'!E$71:E173))/1000)-SUM(N$72:N172)</f>
        <v>0</v>
      </c>
      <c r="O173" s="504"/>
      <c r="P173" s="504">
        <f t="shared" si="3"/>
        <v>0</v>
      </c>
      <c r="Q173" s="504"/>
      <c r="R173" s="504"/>
    </row>
    <row r="174" spans="5:18" x14ac:dyDescent="0.3">
      <c r="E174" s="195" t="str">
        <f>IF(Dades!E764="","",Dades!E764)</f>
        <v/>
      </c>
      <c r="F174" s="397">
        <f>(DSUM('1_Combustibles fósiles'!$E$17:$N$39,"emissions",'6.1_Resultados Illes Balears'!E$71:E174)/1000)-SUM(F$72:F173)</f>
        <v>0</v>
      </c>
      <c r="G174" s="397">
        <f>((DSUM('1_Combustibles fósiles'!$E$47:$U$67,"emissions1",'6.1_Resultados Illes Balears'!E$71:E174)+DSUM('1_Combustibles fósiles'!$E$47:$U$67,"emissions2",'6.1_Resultados Illes Balears'!E$71:E174))/1000)-SUM(G$72:G173)</f>
        <v>0</v>
      </c>
      <c r="H174" s="397">
        <f>(DSUM('2_Fluorados'!$E$11:$P$33,"emissions",'6.1_Resultados Illes Balears'!E$71:E174)/1000)-SUM(H$72:H173)</f>
        <v>0</v>
      </c>
      <c r="I174" s="503">
        <f>(DSUM('3_Emisiones proceso'!$E$13:$K$35,"emissions",'6.1_Resultados Illes Balears'!E$71:E174)/1000)-SUM(I$72:I173)</f>
        <v>0</v>
      </c>
      <c r="J174" s="503"/>
      <c r="K174" s="504">
        <f t="shared" si="2"/>
        <v>0</v>
      </c>
      <c r="L174" s="504"/>
      <c r="M174" s="504"/>
      <c r="N174" s="503">
        <f>((DSUM('4.1_Electricidad Illes Balears'!$E$20:$J$42,"emisiones",'6.1_Resultados Illes Balears'!E$71:E174)+DSUM('4.1_Electricidad Illes Balears'!$E$50:$K$70,"emisiones",'6.1_Resultados Illes Balears'!E$71:E174))/1000)-SUM(N$72:N173)</f>
        <v>0</v>
      </c>
      <c r="O174" s="504"/>
      <c r="P174" s="504">
        <f t="shared" si="3"/>
        <v>0</v>
      </c>
      <c r="Q174" s="504"/>
      <c r="R174" s="504"/>
    </row>
    <row r="175" spans="5:18" x14ac:dyDescent="0.3">
      <c r="E175" s="195" t="str">
        <f>IF(Dades!E765="","",Dades!E765)</f>
        <v/>
      </c>
      <c r="F175" s="397">
        <f>(DSUM('1_Combustibles fósiles'!$E$17:$N$39,"emissions",'6.1_Resultados Illes Balears'!E$71:E175)/1000)-SUM(F$72:F174)</f>
        <v>0</v>
      </c>
      <c r="G175" s="397">
        <f>((DSUM('1_Combustibles fósiles'!$E$47:$U$67,"emissions1",'6.1_Resultados Illes Balears'!E$71:E175)+DSUM('1_Combustibles fósiles'!$E$47:$U$67,"emissions2",'6.1_Resultados Illes Balears'!E$71:E175))/1000)-SUM(G$72:G174)</f>
        <v>0</v>
      </c>
      <c r="H175" s="397">
        <f>(DSUM('2_Fluorados'!$E$11:$P$33,"emissions",'6.1_Resultados Illes Balears'!E$71:E175)/1000)-SUM(H$72:H174)</f>
        <v>0</v>
      </c>
      <c r="I175" s="503">
        <f>(DSUM('3_Emisiones proceso'!$E$13:$K$35,"emissions",'6.1_Resultados Illes Balears'!E$71:E175)/1000)-SUM(I$72:I174)</f>
        <v>0</v>
      </c>
      <c r="J175" s="503"/>
      <c r="K175" s="504">
        <f t="shared" si="2"/>
        <v>0</v>
      </c>
      <c r="L175" s="504"/>
      <c r="M175" s="504"/>
      <c r="N175" s="503">
        <f>((DSUM('4.1_Electricidad Illes Balears'!$E$20:$J$42,"emisiones",'6.1_Resultados Illes Balears'!E$71:E175)+DSUM('4.1_Electricidad Illes Balears'!$E$50:$K$70,"emisiones",'6.1_Resultados Illes Balears'!E$71:E175))/1000)-SUM(N$72:N174)</f>
        <v>0</v>
      </c>
      <c r="O175" s="504"/>
      <c r="P175" s="504">
        <f t="shared" si="3"/>
        <v>0</v>
      </c>
      <c r="Q175" s="504"/>
      <c r="R175" s="504"/>
    </row>
    <row r="176" spans="5:18" x14ac:dyDescent="0.3">
      <c r="E176" s="195" t="str">
        <f>IF(Dades!E766="","",Dades!E766)</f>
        <v/>
      </c>
      <c r="F176" s="397">
        <f>(DSUM('1_Combustibles fósiles'!$E$17:$N$39,"emissions",'6.1_Resultados Illes Balears'!E$71:E176)/1000)-SUM(F$72:F175)</f>
        <v>0</v>
      </c>
      <c r="G176" s="397">
        <f>((DSUM('1_Combustibles fósiles'!$E$47:$U$67,"emissions1",'6.1_Resultados Illes Balears'!E$71:E176)+DSUM('1_Combustibles fósiles'!$E$47:$U$67,"emissions2",'6.1_Resultados Illes Balears'!E$71:E176))/1000)-SUM(G$72:G175)</f>
        <v>0</v>
      </c>
      <c r="H176" s="397">
        <f>(DSUM('2_Fluorados'!$E$11:$P$33,"emissions",'6.1_Resultados Illes Balears'!E$71:E176)/1000)-SUM(H$72:H175)</f>
        <v>0</v>
      </c>
      <c r="I176" s="503">
        <f>(DSUM('3_Emisiones proceso'!$E$13:$K$35,"emissions",'6.1_Resultados Illes Balears'!E$71:E176)/1000)-SUM(I$72:I175)</f>
        <v>0</v>
      </c>
      <c r="J176" s="503"/>
      <c r="K176" s="504">
        <f t="shared" si="2"/>
        <v>0</v>
      </c>
      <c r="L176" s="504"/>
      <c r="M176" s="504"/>
      <c r="N176" s="503">
        <f>((DSUM('4.1_Electricidad Illes Balears'!$E$20:$J$42,"emisiones",'6.1_Resultados Illes Balears'!E$71:E176)+DSUM('4.1_Electricidad Illes Balears'!$E$50:$K$70,"emisiones",'6.1_Resultados Illes Balears'!E$71:E176))/1000)-SUM(N$72:N175)</f>
        <v>0</v>
      </c>
      <c r="O176" s="504"/>
      <c r="P176" s="504">
        <f t="shared" si="3"/>
        <v>0</v>
      </c>
      <c r="Q176" s="504"/>
      <c r="R176" s="504"/>
    </row>
    <row r="177" spans="5:18" x14ac:dyDescent="0.3">
      <c r="E177" s="195" t="str">
        <f>IF(Dades!E767="","",Dades!E767)</f>
        <v/>
      </c>
      <c r="F177" s="397">
        <f>(DSUM('1_Combustibles fósiles'!$E$17:$N$39,"emissions",'6.1_Resultados Illes Balears'!E$71:E177)/1000)-SUM(F$72:F176)</f>
        <v>0</v>
      </c>
      <c r="G177" s="397">
        <f>((DSUM('1_Combustibles fósiles'!$E$47:$U$67,"emissions1",'6.1_Resultados Illes Balears'!E$71:E177)+DSUM('1_Combustibles fósiles'!$E$47:$U$67,"emissions2",'6.1_Resultados Illes Balears'!E$71:E177))/1000)-SUM(G$72:G176)</f>
        <v>0</v>
      </c>
      <c r="H177" s="397">
        <f>(DSUM('2_Fluorados'!$E$11:$P$33,"emissions",'6.1_Resultados Illes Balears'!E$71:E177)/1000)-SUM(H$72:H176)</f>
        <v>0</v>
      </c>
      <c r="I177" s="503">
        <f>(DSUM('3_Emisiones proceso'!$E$13:$K$35,"emissions",'6.1_Resultados Illes Balears'!E$71:E177)/1000)-SUM(I$72:I176)</f>
        <v>0</v>
      </c>
      <c r="J177" s="503"/>
      <c r="K177" s="504">
        <f t="shared" si="2"/>
        <v>0</v>
      </c>
      <c r="L177" s="504"/>
      <c r="M177" s="504"/>
      <c r="N177" s="503">
        <f>((DSUM('4.1_Electricidad Illes Balears'!$E$20:$J$42,"emisiones",'6.1_Resultados Illes Balears'!E$71:E177)+DSUM('4.1_Electricidad Illes Balears'!$E$50:$K$70,"emisiones",'6.1_Resultados Illes Balears'!E$71:E177))/1000)-SUM(N$72:N176)</f>
        <v>0</v>
      </c>
      <c r="O177" s="504"/>
      <c r="P177" s="504">
        <f t="shared" si="3"/>
        <v>0</v>
      </c>
      <c r="Q177" s="504"/>
      <c r="R177" s="504"/>
    </row>
    <row r="178" spans="5:18" x14ac:dyDescent="0.3">
      <c r="E178" s="195" t="str">
        <f>IF(Dades!E768="","",Dades!E768)</f>
        <v/>
      </c>
      <c r="F178" s="397">
        <f>(DSUM('1_Combustibles fósiles'!$E$17:$N$39,"emissions",'6.1_Resultados Illes Balears'!E$71:E178)/1000)-SUM(F$72:F177)</f>
        <v>0</v>
      </c>
      <c r="G178" s="397">
        <f>((DSUM('1_Combustibles fósiles'!$E$47:$U$67,"emissions1",'6.1_Resultados Illes Balears'!E$71:E178)+DSUM('1_Combustibles fósiles'!$E$47:$U$67,"emissions2",'6.1_Resultados Illes Balears'!E$71:E178))/1000)-SUM(G$72:G177)</f>
        <v>0</v>
      </c>
      <c r="H178" s="397">
        <f>(DSUM('2_Fluorados'!$E$11:$P$33,"emissions",'6.1_Resultados Illes Balears'!E$71:E178)/1000)-SUM(H$72:H177)</f>
        <v>0</v>
      </c>
      <c r="I178" s="503">
        <f>(DSUM('3_Emisiones proceso'!$E$13:$K$35,"emissions",'6.1_Resultados Illes Balears'!E$71:E178)/1000)-SUM(I$72:I177)</f>
        <v>0</v>
      </c>
      <c r="J178" s="503"/>
      <c r="K178" s="504">
        <f t="shared" si="2"/>
        <v>0</v>
      </c>
      <c r="L178" s="504"/>
      <c r="M178" s="504"/>
      <c r="N178" s="503">
        <f>((DSUM('4.1_Electricidad Illes Balears'!$E$20:$J$42,"emisiones",'6.1_Resultados Illes Balears'!E$71:E178)+DSUM('4.1_Electricidad Illes Balears'!$E$50:$K$70,"emisiones",'6.1_Resultados Illes Balears'!E$71:E178))/1000)-SUM(N$72:N177)</f>
        <v>0</v>
      </c>
      <c r="O178" s="504"/>
      <c r="P178" s="504">
        <f t="shared" si="3"/>
        <v>0</v>
      </c>
      <c r="Q178" s="504"/>
      <c r="R178" s="504"/>
    </row>
    <row r="179" spans="5:18" x14ac:dyDescent="0.3">
      <c r="E179" s="195" t="str">
        <f>IF(Dades!E769="","",Dades!E769)</f>
        <v/>
      </c>
      <c r="F179" s="397">
        <f>(DSUM('1_Combustibles fósiles'!$E$17:$N$39,"emissions",'6.1_Resultados Illes Balears'!E$71:E179)/1000)-SUM(F$72:F178)</f>
        <v>0</v>
      </c>
      <c r="G179" s="397">
        <f>((DSUM('1_Combustibles fósiles'!$E$47:$U$67,"emissions1",'6.1_Resultados Illes Balears'!E$71:E179)+DSUM('1_Combustibles fósiles'!$E$47:$U$67,"emissions2",'6.1_Resultados Illes Balears'!E$71:E179))/1000)-SUM(G$72:G178)</f>
        <v>0</v>
      </c>
      <c r="H179" s="397">
        <f>(DSUM('2_Fluorados'!$E$11:$P$33,"emissions",'6.1_Resultados Illes Balears'!E$71:E179)/1000)-SUM(H$72:H178)</f>
        <v>0</v>
      </c>
      <c r="I179" s="503">
        <f>(DSUM('3_Emisiones proceso'!$E$13:$K$35,"emissions",'6.1_Resultados Illes Balears'!E$71:E179)/1000)-SUM(I$72:I178)</f>
        <v>0</v>
      </c>
      <c r="J179" s="503"/>
      <c r="K179" s="504">
        <f t="shared" si="2"/>
        <v>0</v>
      </c>
      <c r="L179" s="504"/>
      <c r="M179" s="504"/>
      <c r="N179" s="503">
        <f>((DSUM('4.1_Electricidad Illes Balears'!$E$20:$J$42,"emisiones",'6.1_Resultados Illes Balears'!E$71:E179)+DSUM('4.1_Electricidad Illes Balears'!$E$50:$K$70,"emisiones",'6.1_Resultados Illes Balears'!E$71:E179))/1000)-SUM(N$72:N178)</f>
        <v>0</v>
      </c>
      <c r="O179" s="504"/>
      <c r="P179" s="504">
        <f t="shared" si="3"/>
        <v>0</v>
      </c>
      <c r="Q179" s="504"/>
      <c r="R179" s="504"/>
    </row>
    <row r="180" spans="5:18" x14ac:dyDescent="0.3">
      <c r="E180" s="195" t="str">
        <f>IF(Dades!E770="","",Dades!E770)</f>
        <v/>
      </c>
      <c r="F180" s="397">
        <f>(DSUM('1_Combustibles fósiles'!$E$17:$N$39,"emissions",'6.1_Resultados Illes Balears'!E$71:E180)/1000)-SUM(F$72:F179)</f>
        <v>0</v>
      </c>
      <c r="G180" s="397">
        <f>((DSUM('1_Combustibles fósiles'!$E$47:$U$67,"emissions1",'6.1_Resultados Illes Balears'!E$71:E180)+DSUM('1_Combustibles fósiles'!$E$47:$U$67,"emissions2",'6.1_Resultados Illes Balears'!E$71:E180))/1000)-SUM(G$72:G179)</f>
        <v>0</v>
      </c>
      <c r="H180" s="397">
        <f>(DSUM('2_Fluorados'!$E$11:$P$33,"emissions",'6.1_Resultados Illes Balears'!E$71:E180)/1000)-SUM(H$72:H179)</f>
        <v>0</v>
      </c>
      <c r="I180" s="503">
        <f>(DSUM('3_Emisiones proceso'!$E$13:$K$35,"emissions",'6.1_Resultados Illes Balears'!E$71:E180)/1000)-SUM(I$72:I179)</f>
        <v>0</v>
      </c>
      <c r="J180" s="503"/>
      <c r="K180" s="504">
        <f t="shared" si="2"/>
        <v>0</v>
      </c>
      <c r="L180" s="504"/>
      <c r="M180" s="504"/>
      <c r="N180" s="503">
        <f>((DSUM('4.1_Electricidad Illes Balears'!$E$20:$J$42,"emisiones",'6.1_Resultados Illes Balears'!E$71:E180)+DSUM('4.1_Electricidad Illes Balears'!$E$50:$K$70,"emisiones",'6.1_Resultados Illes Balears'!E$71:E180))/1000)-SUM(N$72:N179)</f>
        <v>0</v>
      </c>
      <c r="O180" s="504"/>
      <c r="P180" s="504">
        <f t="shared" si="3"/>
        <v>0</v>
      </c>
      <c r="Q180" s="504"/>
      <c r="R180" s="504"/>
    </row>
    <row r="181" spans="5:18" x14ac:dyDescent="0.3">
      <c r="E181" s="195" t="str">
        <f>IF(Dades!E771="","",Dades!E771)</f>
        <v/>
      </c>
      <c r="F181" s="397">
        <f>(DSUM('1_Combustibles fósiles'!$E$17:$N$39,"emissions",'6.1_Resultados Illes Balears'!E$71:E181)/1000)-SUM(F$72:F180)</f>
        <v>0</v>
      </c>
      <c r="G181" s="397">
        <f>((DSUM('1_Combustibles fósiles'!$E$47:$U$67,"emissions1",'6.1_Resultados Illes Balears'!E$71:E181)+DSUM('1_Combustibles fósiles'!$E$47:$U$67,"emissions2",'6.1_Resultados Illes Balears'!E$71:E181))/1000)-SUM(G$72:G180)</f>
        <v>0</v>
      </c>
      <c r="H181" s="397">
        <f>(DSUM('2_Fluorados'!$E$11:$P$33,"emissions",'6.1_Resultados Illes Balears'!E$71:E181)/1000)-SUM(H$72:H180)</f>
        <v>0</v>
      </c>
      <c r="I181" s="503">
        <f>(DSUM('3_Emisiones proceso'!$E$13:$K$35,"emissions",'6.1_Resultados Illes Balears'!E$71:E181)/1000)-SUM(I$72:I180)</f>
        <v>0</v>
      </c>
      <c r="J181" s="503"/>
      <c r="K181" s="504">
        <f t="shared" si="2"/>
        <v>0</v>
      </c>
      <c r="L181" s="504"/>
      <c r="M181" s="504"/>
      <c r="N181" s="503">
        <f>((DSUM('4.1_Electricidad Illes Balears'!$E$20:$J$42,"emisiones",'6.1_Resultados Illes Balears'!E$71:E181)+DSUM('4.1_Electricidad Illes Balears'!$E$50:$K$70,"emisiones",'6.1_Resultados Illes Balears'!E$71:E181))/1000)-SUM(N$72:N180)</f>
        <v>0</v>
      </c>
      <c r="O181" s="504"/>
      <c r="P181" s="504">
        <f t="shared" si="3"/>
        <v>0</v>
      </c>
      <c r="Q181" s="504"/>
      <c r="R181" s="504"/>
    </row>
    <row r="182" spans="5:18" x14ac:dyDescent="0.3">
      <c r="E182" s="195" t="str">
        <f>IF(Dades!E772="","",Dades!E772)</f>
        <v/>
      </c>
      <c r="F182" s="397">
        <f>(DSUM('1_Combustibles fósiles'!$E$17:$N$39,"emissions",'6.1_Resultados Illes Balears'!E$71:E182)/1000)-SUM(F$72:F181)</f>
        <v>0</v>
      </c>
      <c r="G182" s="397">
        <f>((DSUM('1_Combustibles fósiles'!$E$47:$U$67,"emissions1",'6.1_Resultados Illes Balears'!E$71:E182)+DSUM('1_Combustibles fósiles'!$E$47:$U$67,"emissions2",'6.1_Resultados Illes Balears'!E$71:E182))/1000)-SUM(G$72:G181)</f>
        <v>0</v>
      </c>
      <c r="H182" s="397">
        <f>(DSUM('2_Fluorados'!$E$11:$P$33,"emissions",'6.1_Resultados Illes Balears'!E$71:E182)/1000)-SUM(H$72:H181)</f>
        <v>0</v>
      </c>
      <c r="I182" s="503">
        <f>(DSUM('3_Emisiones proceso'!$E$13:$K$35,"emissions",'6.1_Resultados Illes Balears'!E$71:E182)/1000)-SUM(I$72:I181)</f>
        <v>0</v>
      </c>
      <c r="J182" s="503"/>
      <c r="K182" s="504">
        <f t="shared" si="2"/>
        <v>0</v>
      </c>
      <c r="L182" s="504"/>
      <c r="M182" s="504"/>
      <c r="N182" s="503">
        <f>((DSUM('4.1_Electricidad Illes Balears'!$E$20:$J$42,"emisiones",'6.1_Resultados Illes Balears'!E$71:E182)+DSUM('4.1_Electricidad Illes Balears'!$E$50:$K$70,"emisiones",'6.1_Resultados Illes Balears'!E$71:E182))/1000)-SUM(N$72:N181)</f>
        <v>0</v>
      </c>
      <c r="O182" s="504"/>
      <c r="P182" s="504">
        <f t="shared" si="3"/>
        <v>0</v>
      </c>
      <c r="Q182" s="504"/>
      <c r="R182" s="504"/>
    </row>
    <row r="183" spans="5:18" x14ac:dyDescent="0.3">
      <c r="E183" s="195" t="str">
        <f>IF(Dades!E773="","",Dades!E773)</f>
        <v/>
      </c>
      <c r="F183" s="397">
        <f>(DSUM('1_Combustibles fósiles'!$E$17:$N$39,"emissions",'6.1_Resultados Illes Balears'!E$71:E183)/1000)-SUM(F$72:F182)</f>
        <v>0</v>
      </c>
      <c r="G183" s="397">
        <f>((DSUM('1_Combustibles fósiles'!$E$47:$U$67,"emissions1",'6.1_Resultados Illes Balears'!E$71:E183)+DSUM('1_Combustibles fósiles'!$E$47:$U$67,"emissions2",'6.1_Resultados Illes Balears'!E$71:E183))/1000)-SUM(G$72:G182)</f>
        <v>0</v>
      </c>
      <c r="H183" s="397">
        <f>(DSUM('2_Fluorados'!$E$11:$P$33,"emissions",'6.1_Resultados Illes Balears'!E$71:E183)/1000)-SUM(H$72:H182)</f>
        <v>0</v>
      </c>
      <c r="I183" s="503">
        <f>(DSUM('3_Emisiones proceso'!$E$13:$K$35,"emissions",'6.1_Resultados Illes Balears'!E$71:E183)/1000)-SUM(I$72:I182)</f>
        <v>0</v>
      </c>
      <c r="J183" s="503"/>
      <c r="K183" s="504">
        <f t="shared" si="2"/>
        <v>0</v>
      </c>
      <c r="L183" s="504"/>
      <c r="M183" s="504"/>
      <c r="N183" s="503">
        <f>((DSUM('4.1_Electricidad Illes Balears'!$E$20:$J$42,"emisiones",'6.1_Resultados Illes Balears'!E$71:E183)+DSUM('4.1_Electricidad Illes Balears'!$E$50:$K$70,"emisiones",'6.1_Resultados Illes Balears'!E$71:E183))/1000)-SUM(N$72:N182)</f>
        <v>0</v>
      </c>
      <c r="O183" s="504"/>
      <c r="P183" s="504">
        <f t="shared" si="3"/>
        <v>0</v>
      </c>
      <c r="Q183" s="504"/>
      <c r="R183" s="504"/>
    </row>
    <row r="184" spans="5:18" x14ac:dyDescent="0.3">
      <c r="E184" s="195" t="str">
        <f>IF(Dades!E774="","",Dades!E774)</f>
        <v/>
      </c>
      <c r="F184" s="397">
        <f>(DSUM('1_Combustibles fósiles'!$E$17:$N$39,"emissions",'6.1_Resultados Illes Balears'!E$71:E184)/1000)-SUM(F$72:F183)</f>
        <v>0</v>
      </c>
      <c r="G184" s="397">
        <f>((DSUM('1_Combustibles fósiles'!$E$47:$U$67,"emissions1",'6.1_Resultados Illes Balears'!E$71:E184)+DSUM('1_Combustibles fósiles'!$E$47:$U$67,"emissions2",'6.1_Resultados Illes Balears'!E$71:E184))/1000)-SUM(G$72:G183)</f>
        <v>0</v>
      </c>
      <c r="H184" s="397">
        <f>(DSUM('2_Fluorados'!$E$11:$P$33,"emissions",'6.1_Resultados Illes Balears'!E$71:E184)/1000)-SUM(H$72:H183)</f>
        <v>0</v>
      </c>
      <c r="I184" s="503">
        <f>(DSUM('3_Emisiones proceso'!$E$13:$K$35,"emissions",'6.1_Resultados Illes Balears'!E$71:E184)/1000)-SUM(I$72:I183)</f>
        <v>0</v>
      </c>
      <c r="J184" s="503"/>
      <c r="K184" s="504">
        <f t="shared" si="2"/>
        <v>0</v>
      </c>
      <c r="L184" s="504"/>
      <c r="M184" s="504"/>
      <c r="N184" s="503">
        <f>((DSUM('4.1_Electricidad Illes Balears'!$E$20:$J$42,"emisiones",'6.1_Resultados Illes Balears'!E$71:E184)+DSUM('4.1_Electricidad Illes Balears'!$E$50:$K$70,"emisiones",'6.1_Resultados Illes Balears'!E$71:E184))/1000)-SUM(N$72:N183)</f>
        <v>0</v>
      </c>
      <c r="O184" s="504"/>
      <c r="P184" s="504">
        <f t="shared" si="3"/>
        <v>0</v>
      </c>
      <c r="Q184" s="504"/>
      <c r="R184" s="504"/>
    </row>
    <row r="185" spans="5:18" x14ac:dyDescent="0.3">
      <c r="E185" s="195" t="str">
        <f>IF(Dades!E775="","",Dades!E775)</f>
        <v/>
      </c>
      <c r="F185" s="397">
        <f>(DSUM('1_Combustibles fósiles'!$E$17:$N$39,"emissions",'6.1_Resultados Illes Balears'!E$71:E185)/1000)-SUM(F$72:F184)</f>
        <v>0</v>
      </c>
      <c r="G185" s="397">
        <f>((DSUM('1_Combustibles fósiles'!$E$47:$U$67,"emissions1",'6.1_Resultados Illes Balears'!E$71:E185)+DSUM('1_Combustibles fósiles'!$E$47:$U$67,"emissions2",'6.1_Resultados Illes Balears'!E$71:E185))/1000)-SUM(G$72:G184)</f>
        <v>0</v>
      </c>
      <c r="H185" s="397">
        <f>(DSUM('2_Fluorados'!$E$11:$P$33,"emissions",'6.1_Resultados Illes Balears'!E$71:E185)/1000)-SUM(H$72:H184)</f>
        <v>0</v>
      </c>
      <c r="I185" s="503">
        <f>(DSUM('3_Emisiones proceso'!$E$13:$K$35,"emissions",'6.1_Resultados Illes Balears'!E$71:E185)/1000)-SUM(I$72:I184)</f>
        <v>0</v>
      </c>
      <c r="J185" s="503"/>
      <c r="K185" s="504">
        <f t="shared" si="2"/>
        <v>0</v>
      </c>
      <c r="L185" s="504"/>
      <c r="M185" s="504"/>
      <c r="N185" s="503">
        <f>((DSUM('4.1_Electricidad Illes Balears'!$E$20:$J$42,"emisiones",'6.1_Resultados Illes Balears'!E$71:E185)+DSUM('4.1_Electricidad Illes Balears'!$E$50:$K$70,"emisiones",'6.1_Resultados Illes Balears'!E$71:E185))/1000)-SUM(N$72:N184)</f>
        <v>0</v>
      </c>
      <c r="O185" s="504"/>
      <c r="P185" s="504">
        <f t="shared" si="3"/>
        <v>0</v>
      </c>
      <c r="Q185" s="504"/>
      <c r="R185" s="504"/>
    </row>
    <row r="186" spans="5:18" x14ac:dyDescent="0.3">
      <c r="E186" s="195" t="str">
        <f>IF(Dades!E776="","",Dades!E776)</f>
        <v/>
      </c>
      <c r="F186" s="397">
        <f>(DSUM('1_Combustibles fósiles'!$E$17:$N$39,"emissions",'6.1_Resultados Illes Balears'!E$71:E186)/1000)-SUM(F$72:F185)</f>
        <v>0</v>
      </c>
      <c r="G186" s="397">
        <f>((DSUM('1_Combustibles fósiles'!$E$47:$U$67,"emissions1",'6.1_Resultados Illes Balears'!E$71:E186)+DSUM('1_Combustibles fósiles'!$E$47:$U$67,"emissions2",'6.1_Resultados Illes Balears'!E$71:E186))/1000)-SUM(G$72:G185)</f>
        <v>0</v>
      </c>
      <c r="H186" s="397">
        <f>(DSUM('2_Fluorados'!$E$11:$P$33,"emissions",'6.1_Resultados Illes Balears'!E$71:E186)/1000)-SUM(H$72:H185)</f>
        <v>0</v>
      </c>
      <c r="I186" s="503">
        <f>(DSUM('3_Emisiones proceso'!$E$13:$K$35,"emissions",'6.1_Resultados Illes Balears'!E$71:E186)/1000)-SUM(I$72:I185)</f>
        <v>0</v>
      </c>
      <c r="J186" s="503"/>
      <c r="K186" s="504">
        <f t="shared" si="2"/>
        <v>0</v>
      </c>
      <c r="L186" s="504"/>
      <c r="M186" s="504"/>
      <c r="N186" s="503">
        <f>((DSUM('4.1_Electricidad Illes Balears'!$E$20:$J$42,"emisiones",'6.1_Resultados Illes Balears'!E$71:E186)+DSUM('4.1_Electricidad Illes Balears'!$E$50:$K$70,"emisiones",'6.1_Resultados Illes Balears'!E$71:E186))/1000)-SUM(N$72:N185)</f>
        <v>0</v>
      </c>
      <c r="O186" s="504"/>
      <c r="P186" s="504">
        <f t="shared" si="3"/>
        <v>0</v>
      </c>
      <c r="Q186" s="504"/>
      <c r="R186" s="504"/>
    </row>
    <row r="187" spans="5:18" x14ac:dyDescent="0.3">
      <c r="E187" s="195" t="str">
        <f>IF(Dades!E777="","",Dades!E777)</f>
        <v/>
      </c>
      <c r="F187" s="397">
        <f>(DSUM('1_Combustibles fósiles'!$E$17:$N$39,"emissions",'6.1_Resultados Illes Balears'!E$71:E187)/1000)-SUM(F$72:F186)</f>
        <v>0</v>
      </c>
      <c r="G187" s="397">
        <f>((DSUM('1_Combustibles fósiles'!$E$47:$U$67,"emissions1",'6.1_Resultados Illes Balears'!E$71:E187)+DSUM('1_Combustibles fósiles'!$E$47:$U$67,"emissions2",'6.1_Resultados Illes Balears'!E$71:E187))/1000)-SUM(G$72:G186)</f>
        <v>0</v>
      </c>
      <c r="H187" s="397">
        <f>(DSUM('2_Fluorados'!$E$11:$P$33,"emissions",'6.1_Resultados Illes Balears'!E$71:E187)/1000)-SUM(H$72:H186)</f>
        <v>0</v>
      </c>
      <c r="I187" s="503">
        <f>(DSUM('3_Emisiones proceso'!$E$13:$K$35,"emissions",'6.1_Resultados Illes Balears'!E$71:E187)/1000)-SUM(I$72:I186)</f>
        <v>0</v>
      </c>
      <c r="J187" s="503"/>
      <c r="K187" s="504">
        <f t="shared" si="2"/>
        <v>0</v>
      </c>
      <c r="L187" s="504"/>
      <c r="M187" s="504"/>
      <c r="N187" s="503">
        <f>((DSUM('4.1_Electricidad Illes Balears'!$E$20:$J$42,"emisiones",'6.1_Resultados Illes Balears'!E$71:E187)+DSUM('4.1_Electricidad Illes Balears'!$E$50:$K$70,"emisiones",'6.1_Resultados Illes Balears'!E$71:E187))/1000)-SUM(N$72:N186)</f>
        <v>0</v>
      </c>
      <c r="O187" s="504"/>
      <c r="P187" s="504">
        <f t="shared" si="3"/>
        <v>0</v>
      </c>
      <c r="Q187" s="504"/>
      <c r="R187" s="504"/>
    </row>
    <row r="188" spans="5:18" x14ac:dyDescent="0.3">
      <c r="E188" s="195" t="str">
        <f>IF(Dades!E778="","",Dades!E778)</f>
        <v/>
      </c>
      <c r="F188" s="397">
        <f>(DSUM('1_Combustibles fósiles'!$E$17:$N$39,"emissions",'6.1_Resultados Illes Balears'!E$71:E188)/1000)-SUM(F$72:F187)</f>
        <v>0</v>
      </c>
      <c r="G188" s="397">
        <f>((DSUM('1_Combustibles fósiles'!$E$47:$U$67,"emissions1",'6.1_Resultados Illes Balears'!E$71:E188)+DSUM('1_Combustibles fósiles'!$E$47:$U$67,"emissions2",'6.1_Resultados Illes Balears'!E$71:E188))/1000)-SUM(G$72:G187)</f>
        <v>0</v>
      </c>
      <c r="H188" s="397">
        <f>(DSUM('2_Fluorados'!$E$11:$P$33,"emissions",'6.1_Resultados Illes Balears'!E$71:E188)/1000)-SUM(H$72:H187)</f>
        <v>0</v>
      </c>
      <c r="I188" s="503">
        <f>(DSUM('3_Emisiones proceso'!$E$13:$K$35,"emissions",'6.1_Resultados Illes Balears'!E$71:E188)/1000)-SUM(I$72:I187)</f>
        <v>0</v>
      </c>
      <c r="J188" s="503"/>
      <c r="K188" s="504">
        <f t="shared" si="2"/>
        <v>0</v>
      </c>
      <c r="L188" s="504"/>
      <c r="M188" s="504"/>
      <c r="N188" s="503">
        <f>((DSUM('4.1_Electricidad Illes Balears'!$E$20:$J$42,"emisiones",'6.1_Resultados Illes Balears'!E$71:E188)+DSUM('4.1_Electricidad Illes Balears'!$E$50:$K$70,"emisiones",'6.1_Resultados Illes Balears'!E$71:E188))/1000)-SUM(N$72:N187)</f>
        <v>0</v>
      </c>
      <c r="O188" s="504"/>
      <c r="P188" s="504">
        <f t="shared" si="3"/>
        <v>0</v>
      </c>
      <c r="Q188" s="504"/>
      <c r="R188" s="504"/>
    </row>
    <row r="189" spans="5:18" x14ac:dyDescent="0.3">
      <c r="E189" s="195" t="str">
        <f>IF(Dades!E779="","",Dades!E779)</f>
        <v/>
      </c>
      <c r="F189" s="397">
        <f>(DSUM('1_Combustibles fósiles'!$E$17:$N$39,"emissions",'6.1_Resultados Illes Balears'!E$71:E189)/1000)-SUM(F$72:F188)</f>
        <v>0</v>
      </c>
      <c r="G189" s="397">
        <f>((DSUM('1_Combustibles fósiles'!$E$47:$U$67,"emissions1",'6.1_Resultados Illes Balears'!E$71:E189)+DSUM('1_Combustibles fósiles'!$E$47:$U$67,"emissions2",'6.1_Resultados Illes Balears'!E$71:E189))/1000)-SUM(G$72:G188)</f>
        <v>0</v>
      </c>
      <c r="H189" s="397">
        <f>(DSUM('2_Fluorados'!$E$11:$P$33,"emissions",'6.1_Resultados Illes Balears'!E$71:E189)/1000)-SUM(H$72:H188)</f>
        <v>0</v>
      </c>
      <c r="I189" s="503">
        <f>(DSUM('3_Emisiones proceso'!$E$13:$K$35,"emissions",'6.1_Resultados Illes Balears'!E$71:E189)/1000)-SUM(I$72:I188)</f>
        <v>0</v>
      </c>
      <c r="J189" s="503"/>
      <c r="K189" s="504">
        <f t="shared" si="2"/>
        <v>0</v>
      </c>
      <c r="L189" s="504"/>
      <c r="M189" s="504"/>
      <c r="N189" s="503">
        <f>((DSUM('4.1_Electricidad Illes Balears'!$E$20:$J$42,"emisiones",'6.1_Resultados Illes Balears'!E$71:E189)+DSUM('4.1_Electricidad Illes Balears'!$E$50:$K$70,"emisiones",'6.1_Resultados Illes Balears'!E$71:E189))/1000)-SUM(N$72:N188)</f>
        <v>0</v>
      </c>
      <c r="O189" s="504"/>
      <c r="P189" s="504">
        <f t="shared" si="3"/>
        <v>0</v>
      </c>
      <c r="Q189" s="504"/>
      <c r="R189" s="504"/>
    </row>
    <row r="190" spans="5:18" x14ac:dyDescent="0.3">
      <c r="E190" s="195" t="str">
        <f>IF(Dades!E780="","",Dades!E780)</f>
        <v/>
      </c>
      <c r="F190" s="397">
        <f>(DSUM('1_Combustibles fósiles'!$E$17:$N$39,"emissions",'6.1_Resultados Illes Balears'!E$71:E190)/1000)-SUM(F$72:F189)</f>
        <v>0</v>
      </c>
      <c r="G190" s="397">
        <f>((DSUM('1_Combustibles fósiles'!$E$47:$U$67,"emissions1",'6.1_Resultados Illes Balears'!E$71:E190)+DSUM('1_Combustibles fósiles'!$E$47:$U$67,"emissions2",'6.1_Resultados Illes Balears'!E$71:E190))/1000)-SUM(G$72:G189)</f>
        <v>0</v>
      </c>
      <c r="H190" s="397">
        <f>(DSUM('2_Fluorados'!$E$11:$P$33,"emissions",'6.1_Resultados Illes Balears'!E$71:E190)/1000)-SUM(H$72:H189)</f>
        <v>0</v>
      </c>
      <c r="I190" s="503">
        <f>(DSUM('3_Emisiones proceso'!$E$13:$K$35,"emissions",'6.1_Resultados Illes Balears'!E$71:E190)/1000)-SUM(I$72:I189)</f>
        <v>0</v>
      </c>
      <c r="J190" s="503"/>
      <c r="K190" s="504">
        <f t="shared" si="2"/>
        <v>0</v>
      </c>
      <c r="L190" s="504"/>
      <c r="M190" s="504"/>
      <c r="N190" s="503">
        <f>((DSUM('4.1_Electricidad Illes Balears'!$E$20:$J$42,"emisiones",'6.1_Resultados Illes Balears'!E$71:E190)+DSUM('4.1_Electricidad Illes Balears'!$E$50:$K$70,"emisiones",'6.1_Resultados Illes Balears'!E$71:E190))/1000)-SUM(N$72:N189)</f>
        <v>0</v>
      </c>
      <c r="O190" s="504"/>
      <c r="P190" s="504">
        <f t="shared" si="3"/>
        <v>0</v>
      </c>
      <c r="Q190" s="504"/>
      <c r="R190" s="504"/>
    </row>
    <row r="191" spans="5:18" x14ac:dyDescent="0.3">
      <c r="E191" s="195" t="str">
        <f>IF(Dades!E781="","",Dades!E781)</f>
        <v/>
      </c>
      <c r="F191" s="397">
        <f>(DSUM('1_Combustibles fósiles'!$E$17:$N$39,"emissions",'6.1_Resultados Illes Balears'!E$71:E191)/1000)-SUM(F$72:F190)</f>
        <v>0</v>
      </c>
      <c r="G191" s="397">
        <f>((DSUM('1_Combustibles fósiles'!$E$47:$U$67,"emissions1",'6.1_Resultados Illes Balears'!E$71:E191)+DSUM('1_Combustibles fósiles'!$E$47:$U$67,"emissions2",'6.1_Resultados Illes Balears'!E$71:E191))/1000)-SUM(G$72:G190)</f>
        <v>0</v>
      </c>
      <c r="H191" s="397">
        <f>(DSUM('2_Fluorados'!$E$11:$P$33,"emissions",'6.1_Resultados Illes Balears'!E$71:E191)/1000)-SUM(H$72:H190)</f>
        <v>0</v>
      </c>
      <c r="I191" s="503">
        <f>(DSUM('3_Emisiones proceso'!$E$13:$K$35,"emissions",'6.1_Resultados Illes Balears'!E$71:E191)/1000)-SUM(I$72:I190)</f>
        <v>0</v>
      </c>
      <c r="J191" s="503"/>
      <c r="K191" s="504">
        <f t="shared" si="2"/>
        <v>0</v>
      </c>
      <c r="L191" s="504"/>
      <c r="M191" s="504"/>
      <c r="N191" s="503">
        <f>((DSUM('4.1_Electricidad Illes Balears'!$E$20:$J$42,"emisiones",'6.1_Resultados Illes Balears'!E$71:E191)+DSUM('4.1_Electricidad Illes Balears'!$E$50:$K$70,"emisiones",'6.1_Resultados Illes Balears'!E$71:E191))/1000)-SUM(N$72:N190)</f>
        <v>0</v>
      </c>
      <c r="O191" s="504"/>
      <c r="P191" s="504">
        <f t="shared" si="3"/>
        <v>0</v>
      </c>
      <c r="Q191" s="504"/>
      <c r="R191" s="504"/>
    </row>
    <row r="192" spans="5:18" x14ac:dyDescent="0.3">
      <c r="E192" s="195" t="str">
        <f>IF(Dades!E782="","",Dades!E782)</f>
        <v/>
      </c>
      <c r="F192" s="397">
        <f>(DSUM('1_Combustibles fósiles'!$E$17:$N$39,"emissions",'6.1_Resultados Illes Balears'!E$71:E192)/1000)-SUM(F$72:F191)</f>
        <v>0</v>
      </c>
      <c r="G192" s="397">
        <f>((DSUM('1_Combustibles fósiles'!$E$47:$U$67,"emissions1",'6.1_Resultados Illes Balears'!E$71:E192)+DSUM('1_Combustibles fósiles'!$E$47:$U$67,"emissions2",'6.1_Resultados Illes Balears'!E$71:E192))/1000)-SUM(G$72:G191)</f>
        <v>0</v>
      </c>
      <c r="H192" s="397">
        <f>(DSUM('2_Fluorados'!$E$11:$P$33,"emissions",'6.1_Resultados Illes Balears'!E$71:E192)/1000)-SUM(H$72:H191)</f>
        <v>0</v>
      </c>
      <c r="I192" s="503">
        <f>(DSUM('3_Emisiones proceso'!$E$13:$K$35,"emissions",'6.1_Resultados Illes Balears'!E$71:E192)/1000)-SUM(I$72:I191)</f>
        <v>0</v>
      </c>
      <c r="J192" s="503"/>
      <c r="K192" s="504">
        <f t="shared" si="2"/>
        <v>0</v>
      </c>
      <c r="L192" s="504"/>
      <c r="M192" s="504"/>
      <c r="N192" s="503">
        <f>((DSUM('4.1_Electricidad Illes Balears'!$E$20:$J$42,"emisiones",'6.1_Resultados Illes Balears'!E$71:E192)+DSUM('4.1_Electricidad Illes Balears'!$E$50:$K$70,"emisiones",'6.1_Resultados Illes Balears'!E$71:E192))/1000)-SUM(N$72:N191)</f>
        <v>0</v>
      </c>
      <c r="O192" s="504"/>
      <c r="P192" s="504">
        <f t="shared" si="3"/>
        <v>0</v>
      </c>
      <c r="Q192" s="504"/>
      <c r="R192" s="504"/>
    </row>
    <row r="193" spans="5:18" x14ac:dyDescent="0.3">
      <c r="E193" s="195" t="str">
        <f>IF(Dades!E783="","",Dades!E783)</f>
        <v/>
      </c>
      <c r="F193" s="397">
        <f>(DSUM('1_Combustibles fósiles'!$E$17:$N$39,"emissions",'6.1_Resultados Illes Balears'!E$71:E193)/1000)-SUM(F$72:F192)</f>
        <v>0</v>
      </c>
      <c r="G193" s="397">
        <f>((DSUM('1_Combustibles fósiles'!$E$47:$U$67,"emissions1",'6.1_Resultados Illes Balears'!E$71:E193)+DSUM('1_Combustibles fósiles'!$E$47:$U$67,"emissions2",'6.1_Resultados Illes Balears'!E$71:E193))/1000)-SUM(G$72:G192)</f>
        <v>0</v>
      </c>
      <c r="H193" s="397">
        <f>(DSUM('2_Fluorados'!$E$11:$P$33,"emissions",'6.1_Resultados Illes Balears'!E$71:E193)/1000)-SUM(H$72:H192)</f>
        <v>0</v>
      </c>
      <c r="I193" s="503">
        <f>(DSUM('3_Emisiones proceso'!$E$13:$K$35,"emissions",'6.1_Resultados Illes Balears'!E$71:E193)/1000)-SUM(I$72:I192)</f>
        <v>0</v>
      </c>
      <c r="J193" s="503"/>
      <c r="K193" s="504">
        <f t="shared" si="2"/>
        <v>0</v>
      </c>
      <c r="L193" s="504"/>
      <c r="M193" s="504"/>
      <c r="N193" s="503">
        <f>((DSUM('4.1_Electricidad Illes Balears'!$E$20:$J$42,"emisiones",'6.1_Resultados Illes Balears'!E$71:E193)+DSUM('4.1_Electricidad Illes Balears'!$E$50:$K$70,"emisiones",'6.1_Resultados Illes Balears'!E$71:E193))/1000)-SUM(N$72:N192)</f>
        <v>0</v>
      </c>
      <c r="O193" s="504"/>
      <c r="P193" s="504">
        <f t="shared" si="3"/>
        <v>0</v>
      </c>
      <c r="Q193" s="504"/>
      <c r="R193" s="504"/>
    </row>
    <row r="194" spans="5:18" x14ac:dyDescent="0.3">
      <c r="E194" s="195" t="str">
        <f>IF(Dades!E784="","",Dades!E784)</f>
        <v/>
      </c>
      <c r="F194" s="397">
        <f>(DSUM('1_Combustibles fósiles'!$E$17:$N$39,"emissions",'6.1_Resultados Illes Balears'!E$71:E194)/1000)-SUM(F$72:F193)</f>
        <v>0</v>
      </c>
      <c r="G194" s="397">
        <f>((DSUM('1_Combustibles fósiles'!$E$47:$U$67,"emissions1",'6.1_Resultados Illes Balears'!E$71:E194)+DSUM('1_Combustibles fósiles'!$E$47:$U$67,"emissions2",'6.1_Resultados Illes Balears'!E$71:E194))/1000)-SUM(G$72:G193)</f>
        <v>0</v>
      </c>
      <c r="H194" s="397">
        <f>(DSUM('2_Fluorados'!$E$11:$P$33,"emissions",'6.1_Resultados Illes Balears'!E$71:E194)/1000)-SUM(H$72:H193)</f>
        <v>0</v>
      </c>
      <c r="I194" s="503">
        <f>(DSUM('3_Emisiones proceso'!$E$13:$K$35,"emissions",'6.1_Resultados Illes Balears'!E$71:E194)/1000)-SUM(I$72:I193)</f>
        <v>0</v>
      </c>
      <c r="J194" s="503"/>
      <c r="K194" s="504">
        <f t="shared" si="2"/>
        <v>0</v>
      </c>
      <c r="L194" s="504"/>
      <c r="M194" s="504"/>
      <c r="N194" s="503">
        <f>((DSUM('4.1_Electricidad Illes Balears'!$E$20:$J$42,"emisiones",'6.1_Resultados Illes Balears'!E$71:E194)+DSUM('4.1_Electricidad Illes Balears'!$E$50:$K$70,"emisiones",'6.1_Resultados Illes Balears'!E$71:E194))/1000)-SUM(N$72:N193)</f>
        <v>0</v>
      </c>
      <c r="O194" s="504"/>
      <c r="P194" s="504">
        <f t="shared" si="3"/>
        <v>0</v>
      </c>
      <c r="Q194" s="504"/>
      <c r="R194" s="504"/>
    </row>
    <row r="195" spans="5:18" x14ac:dyDescent="0.3">
      <c r="E195" s="195" t="str">
        <f>IF(Dades!E785="","",Dades!E785)</f>
        <v/>
      </c>
      <c r="F195" s="397">
        <f>(DSUM('1_Combustibles fósiles'!$E$17:$N$39,"emissions",'6.1_Resultados Illes Balears'!E$71:E195)/1000)-SUM(F$72:F194)</f>
        <v>0</v>
      </c>
      <c r="G195" s="397">
        <f>((DSUM('1_Combustibles fósiles'!$E$47:$U$67,"emissions1",'6.1_Resultados Illes Balears'!E$71:E195)+DSUM('1_Combustibles fósiles'!$E$47:$U$67,"emissions2",'6.1_Resultados Illes Balears'!E$71:E195))/1000)-SUM(G$72:G194)</f>
        <v>0</v>
      </c>
      <c r="H195" s="397">
        <f>(DSUM('2_Fluorados'!$E$11:$P$33,"emissions",'6.1_Resultados Illes Balears'!E$71:E195)/1000)-SUM(H$72:H194)</f>
        <v>0</v>
      </c>
      <c r="I195" s="503">
        <f>(DSUM('3_Emisiones proceso'!$E$13:$K$35,"emissions",'6.1_Resultados Illes Balears'!E$71:E195)/1000)-SUM(I$72:I194)</f>
        <v>0</v>
      </c>
      <c r="J195" s="503"/>
      <c r="K195" s="504">
        <f t="shared" si="2"/>
        <v>0</v>
      </c>
      <c r="L195" s="504"/>
      <c r="M195" s="504"/>
      <c r="N195" s="503">
        <f>((DSUM('4.1_Electricidad Illes Balears'!$E$20:$J$42,"emisiones",'6.1_Resultados Illes Balears'!E$71:E195)+DSUM('4.1_Electricidad Illes Balears'!$E$50:$K$70,"emisiones",'6.1_Resultados Illes Balears'!E$71:E195))/1000)-SUM(N$72:N194)</f>
        <v>0</v>
      </c>
      <c r="O195" s="504"/>
      <c r="P195" s="504">
        <f t="shared" si="3"/>
        <v>0</v>
      </c>
      <c r="Q195" s="504"/>
      <c r="R195" s="504"/>
    </row>
    <row r="196" spans="5:18" x14ac:dyDescent="0.3">
      <c r="E196" s="195" t="str">
        <f>IF(Dades!E786="","",Dades!E786)</f>
        <v/>
      </c>
      <c r="F196" s="397">
        <f>(DSUM('1_Combustibles fósiles'!$E$17:$N$39,"emissions",'6.1_Resultados Illes Balears'!E$71:E196)/1000)-SUM(F$72:F195)</f>
        <v>0</v>
      </c>
      <c r="G196" s="397">
        <f>((DSUM('1_Combustibles fósiles'!$E$47:$U$67,"emissions1",'6.1_Resultados Illes Balears'!E$71:E196)+DSUM('1_Combustibles fósiles'!$E$47:$U$67,"emissions2",'6.1_Resultados Illes Balears'!E$71:E196))/1000)-SUM(G$72:G195)</f>
        <v>0</v>
      </c>
      <c r="H196" s="397">
        <f>(DSUM('2_Fluorados'!$E$11:$P$33,"emissions",'6.1_Resultados Illes Balears'!E$71:E196)/1000)-SUM(H$72:H195)</f>
        <v>0</v>
      </c>
      <c r="I196" s="503">
        <f>(DSUM('3_Emisiones proceso'!$E$13:$K$35,"emissions",'6.1_Resultados Illes Balears'!E$71:E196)/1000)-SUM(I$72:I195)</f>
        <v>0</v>
      </c>
      <c r="J196" s="503"/>
      <c r="K196" s="504">
        <f t="shared" si="2"/>
        <v>0</v>
      </c>
      <c r="L196" s="504"/>
      <c r="M196" s="504"/>
      <c r="N196" s="503">
        <f>((DSUM('4.1_Electricidad Illes Balears'!$E$20:$J$42,"emisiones",'6.1_Resultados Illes Balears'!E$71:E196)+DSUM('4.1_Electricidad Illes Balears'!$E$50:$K$70,"emisiones",'6.1_Resultados Illes Balears'!E$71:E196))/1000)-SUM(N$72:N195)</f>
        <v>0</v>
      </c>
      <c r="O196" s="504"/>
      <c r="P196" s="504">
        <f t="shared" si="3"/>
        <v>0</v>
      </c>
      <c r="Q196" s="504"/>
      <c r="R196" s="504"/>
    </row>
    <row r="197" spans="5:18" x14ac:dyDescent="0.3">
      <c r="E197" s="195" t="str">
        <f>IF(Dades!E787="","",Dades!E787)</f>
        <v/>
      </c>
      <c r="F197" s="397">
        <f>(DSUM('1_Combustibles fósiles'!$E$17:$N$39,"emissions",'6.1_Resultados Illes Balears'!E$71:E197)/1000)-SUM(F$72:F196)</f>
        <v>0</v>
      </c>
      <c r="G197" s="397">
        <f>((DSUM('1_Combustibles fósiles'!$E$47:$U$67,"emissions1",'6.1_Resultados Illes Balears'!E$71:E197)+DSUM('1_Combustibles fósiles'!$E$47:$U$67,"emissions2",'6.1_Resultados Illes Balears'!E$71:E197))/1000)-SUM(G$72:G196)</f>
        <v>0</v>
      </c>
      <c r="H197" s="397">
        <f>(DSUM('2_Fluorados'!$E$11:$P$33,"emissions",'6.1_Resultados Illes Balears'!E$71:E197)/1000)-SUM(H$72:H196)</f>
        <v>0</v>
      </c>
      <c r="I197" s="503">
        <f>(DSUM('3_Emisiones proceso'!$E$13:$K$35,"emissions",'6.1_Resultados Illes Balears'!E$71:E197)/1000)-SUM(I$72:I196)</f>
        <v>0</v>
      </c>
      <c r="J197" s="503"/>
      <c r="K197" s="504">
        <f t="shared" si="2"/>
        <v>0</v>
      </c>
      <c r="L197" s="504"/>
      <c r="M197" s="504"/>
      <c r="N197" s="503">
        <f>((DSUM('4.1_Electricidad Illes Balears'!$E$20:$J$42,"emisiones",'6.1_Resultados Illes Balears'!E$71:E197)+DSUM('4.1_Electricidad Illes Balears'!$E$50:$K$70,"emisiones",'6.1_Resultados Illes Balears'!E$71:E197))/1000)-SUM(N$72:N196)</f>
        <v>0</v>
      </c>
      <c r="O197" s="504"/>
      <c r="P197" s="504">
        <f t="shared" si="3"/>
        <v>0</v>
      </c>
      <c r="Q197" s="504"/>
      <c r="R197" s="504"/>
    </row>
    <row r="198" spans="5:18" x14ac:dyDescent="0.3">
      <c r="E198" s="195" t="str">
        <f>IF(Dades!E788="","",Dades!E788)</f>
        <v/>
      </c>
      <c r="F198" s="397">
        <f>(DSUM('1_Combustibles fósiles'!$E$17:$N$39,"emissions",'6.1_Resultados Illes Balears'!E$71:E198)/1000)-SUM(F$72:F197)</f>
        <v>0</v>
      </c>
      <c r="G198" s="397">
        <f>((DSUM('1_Combustibles fósiles'!$E$47:$U$67,"emissions1",'6.1_Resultados Illes Balears'!E$71:E198)+DSUM('1_Combustibles fósiles'!$E$47:$U$67,"emissions2",'6.1_Resultados Illes Balears'!E$71:E198))/1000)-SUM(G$72:G197)</f>
        <v>0</v>
      </c>
      <c r="H198" s="397">
        <f>(DSUM('2_Fluorados'!$E$11:$P$33,"emissions",'6.1_Resultados Illes Balears'!E$71:E198)/1000)-SUM(H$72:H197)</f>
        <v>0</v>
      </c>
      <c r="I198" s="503">
        <f>(DSUM('3_Emisiones proceso'!$E$13:$K$35,"emissions",'6.1_Resultados Illes Balears'!E$71:E198)/1000)-SUM(I$72:I197)</f>
        <v>0</v>
      </c>
      <c r="J198" s="503"/>
      <c r="K198" s="504">
        <f t="shared" si="2"/>
        <v>0</v>
      </c>
      <c r="L198" s="504"/>
      <c r="M198" s="504"/>
      <c r="N198" s="503">
        <f>((DSUM('4.1_Electricidad Illes Balears'!$E$20:$J$42,"emisiones",'6.1_Resultados Illes Balears'!E$71:E198)+DSUM('4.1_Electricidad Illes Balears'!$E$50:$K$70,"emisiones",'6.1_Resultados Illes Balears'!E$71:E198))/1000)-SUM(N$72:N197)</f>
        <v>0</v>
      </c>
      <c r="O198" s="504"/>
      <c r="P198" s="504">
        <f t="shared" si="3"/>
        <v>0</v>
      </c>
      <c r="Q198" s="504"/>
      <c r="R198" s="504"/>
    </row>
    <row r="199" spans="5:18" x14ac:dyDescent="0.3">
      <c r="E199" s="195" t="str">
        <f>IF(Dades!E789="","",Dades!E789)</f>
        <v/>
      </c>
      <c r="F199" s="397">
        <f>(DSUM('1_Combustibles fósiles'!$E$17:$N$39,"emissions",'6.1_Resultados Illes Balears'!E$71:E199)/1000)-SUM(F$72:F198)</f>
        <v>0</v>
      </c>
      <c r="G199" s="397">
        <f>((DSUM('1_Combustibles fósiles'!$E$47:$U$67,"emissions1",'6.1_Resultados Illes Balears'!E$71:E199)+DSUM('1_Combustibles fósiles'!$E$47:$U$67,"emissions2",'6.1_Resultados Illes Balears'!E$71:E199))/1000)-SUM(G$72:G198)</f>
        <v>0</v>
      </c>
      <c r="H199" s="397">
        <f>(DSUM('2_Fluorados'!$E$11:$P$33,"emissions",'6.1_Resultados Illes Balears'!E$71:E199)/1000)-SUM(H$72:H198)</f>
        <v>0</v>
      </c>
      <c r="I199" s="503">
        <f>(DSUM('3_Emisiones proceso'!$E$13:$K$35,"emissions",'6.1_Resultados Illes Balears'!E$71:E199)/1000)-SUM(I$72:I198)</f>
        <v>0</v>
      </c>
      <c r="J199" s="503"/>
      <c r="K199" s="504">
        <f t="shared" si="2"/>
        <v>0</v>
      </c>
      <c r="L199" s="504"/>
      <c r="M199" s="504"/>
      <c r="N199" s="503">
        <f>((DSUM('4.1_Electricidad Illes Balears'!$E$20:$J$42,"emisiones",'6.1_Resultados Illes Balears'!E$71:E199)+DSUM('4.1_Electricidad Illes Balears'!$E$50:$K$70,"emisiones",'6.1_Resultados Illes Balears'!E$71:E199))/1000)-SUM(N$72:N198)</f>
        <v>0</v>
      </c>
      <c r="O199" s="504"/>
      <c r="P199" s="504">
        <f t="shared" si="3"/>
        <v>0</v>
      </c>
      <c r="Q199" s="504"/>
      <c r="R199" s="504"/>
    </row>
    <row r="200" spans="5:18" x14ac:dyDescent="0.3">
      <c r="E200" s="195" t="str">
        <f>IF(Dades!E790="","",Dades!E790)</f>
        <v/>
      </c>
      <c r="F200" s="397">
        <f>(DSUM('1_Combustibles fósiles'!$E$17:$N$39,"emissions",'6.1_Resultados Illes Balears'!E$71:E200)/1000)-SUM(F$72:F199)</f>
        <v>0</v>
      </c>
      <c r="G200" s="397">
        <f>((DSUM('1_Combustibles fósiles'!$E$47:$U$67,"emissions1",'6.1_Resultados Illes Balears'!E$71:E200)+DSUM('1_Combustibles fósiles'!$E$47:$U$67,"emissions2",'6.1_Resultados Illes Balears'!E$71:E200))/1000)-SUM(G$72:G199)</f>
        <v>0</v>
      </c>
      <c r="H200" s="397">
        <f>(DSUM('2_Fluorados'!$E$11:$P$33,"emissions",'6.1_Resultados Illes Balears'!E$71:E200)/1000)-SUM(H$72:H199)</f>
        <v>0</v>
      </c>
      <c r="I200" s="503">
        <f>(DSUM('3_Emisiones proceso'!$E$13:$K$35,"emissions",'6.1_Resultados Illes Balears'!E$71:E200)/1000)-SUM(I$72:I199)</f>
        <v>0</v>
      </c>
      <c r="J200" s="503"/>
      <c r="K200" s="504">
        <f t="shared" si="2"/>
        <v>0</v>
      </c>
      <c r="L200" s="504"/>
      <c r="M200" s="504"/>
      <c r="N200" s="503">
        <f>((DSUM('4.1_Electricidad Illes Balears'!$E$20:$J$42,"emisiones",'6.1_Resultados Illes Balears'!E$71:E200)+DSUM('4.1_Electricidad Illes Balears'!$E$50:$K$70,"emisiones",'6.1_Resultados Illes Balears'!E$71:E200))/1000)-SUM(N$72:N199)</f>
        <v>0</v>
      </c>
      <c r="O200" s="504"/>
      <c r="P200" s="504">
        <f t="shared" si="3"/>
        <v>0</v>
      </c>
      <c r="Q200" s="504"/>
      <c r="R200" s="504"/>
    </row>
    <row r="201" spans="5:18" x14ac:dyDescent="0.3">
      <c r="E201" s="195" t="str">
        <f>IF(Dades!E791="","",Dades!E791)</f>
        <v/>
      </c>
      <c r="F201" s="397">
        <f>(DSUM('1_Combustibles fósiles'!$E$17:$N$39,"emissions",'6.1_Resultados Illes Balears'!E$71:E201)/1000)-SUM(F$72:F200)</f>
        <v>0</v>
      </c>
      <c r="G201" s="397">
        <f>((DSUM('1_Combustibles fósiles'!$E$47:$U$67,"emissions1",'6.1_Resultados Illes Balears'!E$71:E201)+DSUM('1_Combustibles fósiles'!$E$47:$U$67,"emissions2",'6.1_Resultados Illes Balears'!E$71:E201))/1000)-SUM(G$72:G200)</f>
        <v>0</v>
      </c>
      <c r="H201" s="397">
        <f>(DSUM('2_Fluorados'!$E$11:$P$33,"emissions",'6.1_Resultados Illes Balears'!E$71:E201)/1000)-SUM(H$72:H200)</f>
        <v>0</v>
      </c>
      <c r="I201" s="503">
        <f>(DSUM('3_Emisiones proceso'!$E$13:$K$35,"emissions",'6.1_Resultados Illes Balears'!E$71:E201)/1000)-SUM(I$72:I200)</f>
        <v>0</v>
      </c>
      <c r="J201" s="503"/>
      <c r="K201" s="504">
        <f t="shared" si="2"/>
        <v>0</v>
      </c>
      <c r="L201" s="504"/>
      <c r="M201" s="504"/>
      <c r="N201" s="503">
        <f>((DSUM('4.1_Electricidad Illes Balears'!$E$20:$J$42,"emisiones",'6.1_Resultados Illes Balears'!E$71:E201)+DSUM('4.1_Electricidad Illes Balears'!$E$50:$K$70,"emisiones",'6.1_Resultados Illes Balears'!E$71:E201))/1000)-SUM(N$72:N200)</f>
        <v>0</v>
      </c>
      <c r="O201" s="504"/>
      <c r="P201" s="504">
        <f t="shared" si="3"/>
        <v>0</v>
      </c>
      <c r="Q201" s="504"/>
      <c r="R201" s="504"/>
    </row>
    <row r="202" spans="5:18" x14ac:dyDescent="0.3">
      <c r="E202" s="195" t="str">
        <f>IF(Dades!E792="","",Dades!E792)</f>
        <v/>
      </c>
      <c r="F202" s="397">
        <f>(DSUM('1_Combustibles fósiles'!$E$17:$N$39,"emissions",'6.1_Resultados Illes Balears'!E$71:E202)/1000)-SUM(F$72:F201)</f>
        <v>0</v>
      </c>
      <c r="G202" s="397">
        <f>((DSUM('1_Combustibles fósiles'!$E$47:$U$67,"emissions1",'6.1_Resultados Illes Balears'!E$71:E202)+DSUM('1_Combustibles fósiles'!$E$47:$U$67,"emissions2",'6.1_Resultados Illes Balears'!E$71:E202))/1000)-SUM(G$72:G201)</f>
        <v>0</v>
      </c>
      <c r="H202" s="397">
        <f>(DSUM('2_Fluorados'!$E$11:$P$33,"emissions",'6.1_Resultados Illes Balears'!E$71:E202)/1000)-SUM(H$72:H201)</f>
        <v>0</v>
      </c>
      <c r="I202" s="503">
        <f>(DSUM('3_Emisiones proceso'!$E$13:$K$35,"emissions",'6.1_Resultados Illes Balears'!E$71:E202)/1000)-SUM(I$72:I201)</f>
        <v>0</v>
      </c>
      <c r="J202" s="503"/>
      <c r="K202" s="504">
        <f t="shared" si="2"/>
        <v>0</v>
      </c>
      <c r="L202" s="504"/>
      <c r="M202" s="504"/>
      <c r="N202" s="503">
        <f>((DSUM('4.1_Electricidad Illes Balears'!$E$20:$J$42,"emisiones",'6.1_Resultados Illes Balears'!E$71:E202)+DSUM('4.1_Electricidad Illes Balears'!$E$50:$K$70,"emisiones",'6.1_Resultados Illes Balears'!E$71:E202))/1000)-SUM(N$72:N201)</f>
        <v>0</v>
      </c>
      <c r="O202" s="504"/>
      <c r="P202" s="504">
        <f t="shared" si="3"/>
        <v>0</v>
      </c>
      <c r="Q202" s="504"/>
      <c r="R202" s="504"/>
    </row>
    <row r="203" spans="5:18" x14ac:dyDescent="0.3">
      <c r="E203" s="195" t="str">
        <f>IF(Dades!E793="","",Dades!E793)</f>
        <v/>
      </c>
      <c r="F203" s="397">
        <f>(DSUM('1_Combustibles fósiles'!$E$17:$N$39,"emissions",'6.1_Resultados Illes Balears'!E$71:E203)/1000)-SUM(F$72:F202)</f>
        <v>0</v>
      </c>
      <c r="G203" s="397">
        <f>((DSUM('1_Combustibles fósiles'!$E$47:$U$67,"emissions1",'6.1_Resultados Illes Balears'!E$71:E203)+DSUM('1_Combustibles fósiles'!$E$47:$U$67,"emissions2",'6.1_Resultados Illes Balears'!E$71:E203))/1000)-SUM(G$72:G202)</f>
        <v>0</v>
      </c>
      <c r="H203" s="397">
        <f>(DSUM('2_Fluorados'!$E$11:$P$33,"emissions",'6.1_Resultados Illes Balears'!E$71:E203)/1000)-SUM(H$72:H202)</f>
        <v>0</v>
      </c>
      <c r="I203" s="503">
        <f>(DSUM('3_Emisiones proceso'!$E$13:$K$35,"emissions",'6.1_Resultados Illes Balears'!E$71:E203)/1000)-SUM(I$72:I202)</f>
        <v>0</v>
      </c>
      <c r="J203" s="503"/>
      <c r="K203" s="504">
        <f t="shared" ref="K203:K266" si="4">SUM(F203:J203)</f>
        <v>0</v>
      </c>
      <c r="L203" s="504"/>
      <c r="M203" s="504"/>
      <c r="N203" s="503">
        <f>((DSUM('4.1_Electricidad Illes Balears'!$E$20:$J$42,"emisiones",'6.1_Resultados Illes Balears'!E$71:E203)+DSUM('4.1_Electricidad Illes Balears'!$E$50:$K$70,"emisiones",'6.1_Resultados Illes Balears'!E$71:E203))/1000)-SUM(N$72:N202)</f>
        <v>0</v>
      </c>
      <c r="O203" s="504"/>
      <c r="P203" s="504">
        <f t="shared" ref="P203:P266" si="5">K203+N203</f>
        <v>0</v>
      </c>
      <c r="Q203" s="504"/>
      <c r="R203" s="504"/>
    </row>
    <row r="204" spans="5:18" x14ac:dyDescent="0.3">
      <c r="E204" s="195" t="str">
        <f>IF(Dades!E794="","",Dades!E794)</f>
        <v/>
      </c>
      <c r="F204" s="397">
        <f>(DSUM('1_Combustibles fósiles'!$E$17:$N$39,"emissions",'6.1_Resultados Illes Balears'!E$71:E204)/1000)-SUM(F$72:F203)</f>
        <v>0</v>
      </c>
      <c r="G204" s="397">
        <f>((DSUM('1_Combustibles fósiles'!$E$47:$U$67,"emissions1",'6.1_Resultados Illes Balears'!E$71:E204)+DSUM('1_Combustibles fósiles'!$E$47:$U$67,"emissions2",'6.1_Resultados Illes Balears'!E$71:E204))/1000)-SUM(G$72:G203)</f>
        <v>0</v>
      </c>
      <c r="H204" s="397">
        <f>(DSUM('2_Fluorados'!$E$11:$P$33,"emissions",'6.1_Resultados Illes Balears'!E$71:E204)/1000)-SUM(H$72:H203)</f>
        <v>0</v>
      </c>
      <c r="I204" s="503">
        <f>(DSUM('3_Emisiones proceso'!$E$13:$K$35,"emissions",'6.1_Resultados Illes Balears'!E$71:E204)/1000)-SUM(I$72:I203)</f>
        <v>0</v>
      </c>
      <c r="J204" s="503"/>
      <c r="K204" s="504">
        <f t="shared" si="4"/>
        <v>0</v>
      </c>
      <c r="L204" s="504"/>
      <c r="M204" s="504"/>
      <c r="N204" s="503">
        <f>((DSUM('4.1_Electricidad Illes Balears'!$E$20:$J$42,"emisiones",'6.1_Resultados Illes Balears'!E$71:E204)+DSUM('4.1_Electricidad Illes Balears'!$E$50:$K$70,"emisiones",'6.1_Resultados Illes Balears'!E$71:E204))/1000)-SUM(N$72:N203)</f>
        <v>0</v>
      </c>
      <c r="O204" s="504"/>
      <c r="P204" s="504">
        <f t="shared" si="5"/>
        <v>0</v>
      </c>
      <c r="Q204" s="504"/>
      <c r="R204" s="504"/>
    </row>
    <row r="205" spans="5:18" x14ac:dyDescent="0.3">
      <c r="E205" s="195" t="str">
        <f>IF(Dades!E795="","",Dades!E795)</f>
        <v/>
      </c>
      <c r="F205" s="397">
        <f>(DSUM('1_Combustibles fósiles'!$E$17:$N$39,"emissions",'6.1_Resultados Illes Balears'!E$71:E205)/1000)-SUM(F$72:F204)</f>
        <v>0</v>
      </c>
      <c r="G205" s="397">
        <f>((DSUM('1_Combustibles fósiles'!$E$47:$U$67,"emissions1",'6.1_Resultados Illes Balears'!E$71:E205)+DSUM('1_Combustibles fósiles'!$E$47:$U$67,"emissions2",'6.1_Resultados Illes Balears'!E$71:E205))/1000)-SUM(G$72:G204)</f>
        <v>0</v>
      </c>
      <c r="H205" s="397">
        <f>(DSUM('2_Fluorados'!$E$11:$P$33,"emissions",'6.1_Resultados Illes Balears'!E$71:E205)/1000)-SUM(H$72:H204)</f>
        <v>0</v>
      </c>
      <c r="I205" s="503">
        <f>(DSUM('3_Emisiones proceso'!$E$13:$K$35,"emissions",'6.1_Resultados Illes Balears'!E$71:E205)/1000)-SUM(I$72:I204)</f>
        <v>0</v>
      </c>
      <c r="J205" s="503"/>
      <c r="K205" s="504">
        <f t="shared" si="4"/>
        <v>0</v>
      </c>
      <c r="L205" s="504"/>
      <c r="M205" s="504"/>
      <c r="N205" s="503">
        <f>((DSUM('4.1_Electricidad Illes Balears'!$E$20:$J$42,"emisiones",'6.1_Resultados Illes Balears'!E$71:E205)+DSUM('4.1_Electricidad Illes Balears'!$E$50:$K$70,"emisiones",'6.1_Resultados Illes Balears'!E$71:E205))/1000)-SUM(N$72:N204)</f>
        <v>0</v>
      </c>
      <c r="O205" s="504"/>
      <c r="P205" s="504">
        <f t="shared" si="5"/>
        <v>0</v>
      </c>
      <c r="Q205" s="504"/>
      <c r="R205" s="504"/>
    </row>
    <row r="206" spans="5:18" x14ac:dyDescent="0.3">
      <c r="E206" s="195" t="str">
        <f>IF(Dades!E796="","",Dades!E796)</f>
        <v/>
      </c>
      <c r="F206" s="397">
        <f>(DSUM('1_Combustibles fósiles'!$E$17:$N$39,"emissions",'6.1_Resultados Illes Balears'!E$71:E206)/1000)-SUM(F$72:F205)</f>
        <v>0</v>
      </c>
      <c r="G206" s="397">
        <f>((DSUM('1_Combustibles fósiles'!$E$47:$U$67,"emissions1",'6.1_Resultados Illes Balears'!E$71:E206)+DSUM('1_Combustibles fósiles'!$E$47:$U$67,"emissions2",'6.1_Resultados Illes Balears'!E$71:E206))/1000)-SUM(G$72:G205)</f>
        <v>0</v>
      </c>
      <c r="H206" s="397">
        <f>(DSUM('2_Fluorados'!$E$11:$P$33,"emissions",'6.1_Resultados Illes Balears'!E$71:E206)/1000)-SUM(H$72:H205)</f>
        <v>0</v>
      </c>
      <c r="I206" s="503">
        <f>(DSUM('3_Emisiones proceso'!$E$13:$K$35,"emissions",'6.1_Resultados Illes Balears'!E$71:E206)/1000)-SUM(I$72:I205)</f>
        <v>0</v>
      </c>
      <c r="J206" s="503"/>
      <c r="K206" s="504">
        <f t="shared" si="4"/>
        <v>0</v>
      </c>
      <c r="L206" s="504"/>
      <c r="M206" s="504"/>
      <c r="N206" s="503">
        <f>((DSUM('4.1_Electricidad Illes Balears'!$E$20:$J$42,"emisiones",'6.1_Resultados Illes Balears'!E$71:E206)+DSUM('4.1_Electricidad Illes Balears'!$E$50:$K$70,"emisiones",'6.1_Resultados Illes Balears'!E$71:E206))/1000)-SUM(N$72:N205)</f>
        <v>0</v>
      </c>
      <c r="O206" s="504"/>
      <c r="P206" s="504">
        <f t="shared" si="5"/>
        <v>0</v>
      </c>
      <c r="Q206" s="504"/>
      <c r="R206" s="504"/>
    </row>
    <row r="207" spans="5:18" x14ac:dyDescent="0.3">
      <c r="E207" s="195" t="str">
        <f>IF(Dades!E797="","",Dades!E797)</f>
        <v/>
      </c>
      <c r="F207" s="397">
        <f>(DSUM('1_Combustibles fósiles'!$E$17:$N$39,"emissions",'6.1_Resultados Illes Balears'!E$71:E207)/1000)-SUM(F$72:F206)</f>
        <v>0</v>
      </c>
      <c r="G207" s="397">
        <f>((DSUM('1_Combustibles fósiles'!$E$47:$U$67,"emissions1",'6.1_Resultados Illes Balears'!E$71:E207)+DSUM('1_Combustibles fósiles'!$E$47:$U$67,"emissions2",'6.1_Resultados Illes Balears'!E$71:E207))/1000)-SUM(G$72:G206)</f>
        <v>0</v>
      </c>
      <c r="H207" s="397">
        <f>(DSUM('2_Fluorados'!$E$11:$P$33,"emissions",'6.1_Resultados Illes Balears'!E$71:E207)/1000)-SUM(H$72:H206)</f>
        <v>0</v>
      </c>
      <c r="I207" s="503">
        <f>(DSUM('3_Emisiones proceso'!$E$13:$K$35,"emissions",'6.1_Resultados Illes Balears'!E$71:E207)/1000)-SUM(I$72:I206)</f>
        <v>0</v>
      </c>
      <c r="J207" s="503"/>
      <c r="K207" s="504">
        <f t="shared" si="4"/>
        <v>0</v>
      </c>
      <c r="L207" s="504"/>
      <c r="M207" s="504"/>
      <c r="N207" s="503">
        <f>((DSUM('4.1_Electricidad Illes Balears'!$E$20:$J$42,"emisiones",'6.1_Resultados Illes Balears'!E$71:E207)+DSUM('4.1_Electricidad Illes Balears'!$E$50:$K$70,"emisiones",'6.1_Resultados Illes Balears'!E$71:E207))/1000)-SUM(N$72:N206)</f>
        <v>0</v>
      </c>
      <c r="O207" s="504"/>
      <c r="P207" s="504">
        <f t="shared" si="5"/>
        <v>0</v>
      </c>
      <c r="Q207" s="504"/>
      <c r="R207" s="504"/>
    </row>
    <row r="208" spans="5:18" x14ac:dyDescent="0.3">
      <c r="E208" s="195" t="str">
        <f>IF(Dades!E798="","",Dades!E798)</f>
        <v/>
      </c>
      <c r="F208" s="397">
        <f>(DSUM('1_Combustibles fósiles'!$E$17:$N$39,"emissions",'6.1_Resultados Illes Balears'!E$71:E208)/1000)-SUM(F$72:F207)</f>
        <v>0</v>
      </c>
      <c r="G208" s="397">
        <f>((DSUM('1_Combustibles fósiles'!$E$47:$U$67,"emissions1",'6.1_Resultados Illes Balears'!E$71:E208)+DSUM('1_Combustibles fósiles'!$E$47:$U$67,"emissions2",'6.1_Resultados Illes Balears'!E$71:E208))/1000)-SUM(G$72:G207)</f>
        <v>0</v>
      </c>
      <c r="H208" s="397">
        <f>(DSUM('2_Fluorados'!$E$11:$P$33,"emissions",'6.1_Resultados Illes Balears'!E$71:E208)/1000)-SUM(H$72:H207)</f>
        <v>0</v>
      </c>
      <c r="I208" s="503">
        <f>(DSUM('3_Emisiones proceso'!$E$13:$K$35,"emissions",'6.1_Resultados Illes Balears'!E$71:E208)/1000)-SUM(I$72:I207)</f>
        <v>0</v>
      </c>
      <c r="J208" s="503"/>
      <c r="K208" s="504">
        <f t="shared" si="4"/>
        <v>0</v>
      </c>
      <c r="L208" s="504"/>
      <c r="M208" s="504"/>
      <c r="N208" s="503">
        <f>((DSUM('4.1_Electricidad Illes Balears'!$E$20:$J$42,"emisiones",'6.1_Resultados Illes Balears'!E$71:E208)+DSUM('4.1_Electricidad Illes Balears'!$E$50:$K$70,"emisiones",'6.1_Resultados Illes Balears'!E$71:E208))/1000)-SUM(N$72:N207)</f>
        <v>0</v>
      </c>
      <c r="O208" s="504"/>
      <c r="P208" s="504">
        <f t="shared" si="5"/>
        <v>0</v>
      </c>
      <c r="Q208" s="504"/>
      <c r="R208" s="504"/>
    </row>
    <row r="209" spans="5:18" x14ac:dyDescent="0.3">
      <c r="E209" s="195" t="str">
        <f>IF(Dades!E799="","",Dades!E799)</f>
        <v/>
      </c>
      <c r="F209" s="397">
        <f>(DSUM('1_Combustibles fósiles'!$E$17:$N$39,"emissions",'6.1_Resultados Illes Balears'!E$71:E209)/1000)-SUM(F$72:F208)</f>
        <v>0</v>
      </c>
      <c r="G209" s="397">
        <f>((DSUM('1_Combustibles fósiles'!$E$47:$U$67,"emissions1",'6.1_Resultados Illes Balears'!E$71:E209)+DSUM('1_Combustibles fósiles'!$E$47:$U$67,"emissions2",'6.1_Resultados Illes Balears'!E$71:E209))/1000)-SUM(G$72:G208)</f>
        <v>0</v>
      </c>
      <c r="H209" s="397">
        <f>(DSUM('2_Fluorados'!$E$11:$P$33,"emissions",'6.1_Resultados Illes Balears'!E$71:E209)/1000)-SUM(H$72:H208)</f>
        <v>0</v>
      </c>
      <c r="I209" s="503">
        <f>(DSUM('3_Emisiones proceso'!$E$13:$K$35,"emissions",'6.1_Resultados Illes Balears'!E$71:E209)/1000)-SUM(I$72:I208)</f>
        <v>0</v>
      </c>
      <c r="J209" s="503"/>
      <c r="K209" s="504">
        <f t="shared" si="4"/>
        <v>0</v>
      </c>
      <c r="L209" s="504"/>
      <c r="M209" s="504"/>
      <c r="N209" s="503">
        <f>((DSUM('4.1_Electricidad Illes Balears'!$E$20:$J$42,"emisiones",'6.1_Resultados Illes Balears'!E$71:E209)+DSUM('4.1_Electricidad Illes Balears'!$E$50:$K$70,"emisiones",'6.1_Resultados Illes Balears'!E$71:E209))/1000)-SUM(N$72:N208)</f>
        <v>0</v>
      </c>
      <c r="O209" s="504"/>
      <c r="P209" s="504">
        <f t="shared" si="5"/>
        <v>0</v>
      </c>
      <c r="Q209" s="504"/>
      <c r="R209" s="504"/>
    </row>
    <row r="210" spans="5:18" x14ac:dyDescent="0.3">
      <c r="E210" s="195" t="str">
        <f>IF(Dades!E800="","",Dades!E800)</f>
        <v/>
      </c>
      <c r="F210" s="397">
        <f>(DSUM('1_Combustibles fósiles'!$E$17:$N$39,"emissions",'6.1_Resultados Illes Balears'!E$71:E210)/1000)-SUM(F$72:F209)</f>
        <v>0</v>
      </c>
      <c r="G210" s="397">
        <f>((DSUM('1_Combustibles fósiles'!$E$47:$U$67,"emissions1",'6.1_Resultados Illes Balears'!E$71:E210)+DSUM('1_Combustibles fósiles'!$E$47:$U$67,"emissions2",'6.1_Resultados Illes Balears'!E$71:E210))/1000)-SUM(G$72:G209)</f>
        <v>0</v>
      </c>
      <c r="H210" s="397">
        <f>(DSUM('2_Fluorados'!$E$11:$P$33,"emissions",'6.1_Resultados Illes Balears'!E$71:E210)/1000)-SUM(H$72:H209)</f>
        <v>0</v>
      </c>
      <c r="I210" s="503">
        <f>(DSUM('3_Emisiones proceso'!$E$13:$K$35,"emissions",'6.1_Resultados Illes Balears'!E$71:E210)/1000)-SUM(I$72:I209)</f>
        <v>0</v>
      </c>
      <c r="J210" s="503"/>
      <c r="K210" s="504">
        <f t="shared" si="4"/>
        <v>0</v>
      </c>
      <c r="L210" s="504"/>
      <c r="M210" s="504"/>
      <c r="N210" s="503">
        <f>((DSUM('4.1_Electricidad Illes Balears'!$E$20:$J$42,"emisiones",'6.1_Resultados Illes Balears'!E$71:E210)+DSUM('4.1_Electricidad Illes Balears'!$E$50:$K$70,"emisiones",'6.1_Resultados Illes Balears'!E$71:E210))/1000)-SUM(N$72:N209)</f>
        <v>0</v>
      </c>
      <c r="O210" s="504"/>
      <c r="P210" s="504">
        <f t="shared" si="5"/>
        <v>0</v>
      </c>
      <c r="Q210" s="504"/>
      <c r="R210" s="504"/>
    </row>
    <row r="211" spans="5:18" x14ac:dyDescent="0.3">
      <c r="E211" s="195" t="str">
        <f>IF(Dades!E801="","",Dades!E801)</f>
        <v/>
      </c>
      <c r="F211" s="397">
        <f>(DSUM('1_Combustibles fósiles'!$E$17:$N$39,"emissions",'6.1_Resultados Illes Balears'!E$71:E211)/1000)-SUM(F$72:F210)</f>
        <v>0</v>
      </c>
      <c r="G211" s="397">
        <f>((DSUM('1_Combustibles fósiles'!$E$47:$U$67,"emissions1",'6.1_Resultados Illes Balears'!E$71:E211)+DSUM('1_Combustibles fósiles'!$E$47:$U$67,"emissions2",'6.1_Resultados Illes Balears'!E$71:E211))/1000)-SUM(G$72:G210)</f>
        <v>0</v>
      </c>
      <c r="H211" s="397">
        <f>(DSUM('2_Fluorados'!$E$11:$P$33,"emissions",'6.1_Resultados Illes Balears'!E$71:E211)/1000)-SUM(H$72:H210)</f>
        <v>0</v>
      </c>
      <c r="I211" s="503">
        <f>(DSUM('3_Emisiones proceso'!$E$13:$K$35,"emissions",'6.1_Resultados Illes Balears'!E$71:E211)/1000)-SUM(I$72:I210)</f>
        <v>0</v>
      </c>
      <c r="J211" s="503"/>
      <c r="K211" s="504">
        <f t="shared" si="4"/>
        <v>0</v>
      </c>
      <c r="L211" s="504"/>
      <c r="M211" s="504"/>
      <c r="N211" s="503">
        <f>((DSUM('4.1_Electricidad Illes Balears'!$E$20:$J$42,"emisiones",'6.1_Resultados Illes Balears'!E$71:E211)+DSUM('4.1_Electricidad Illes Balears'!$E$50:$K$70,"emisiones",'6.1_Resultados Illes Balears'!E$71:E211))/1000)-SUM(N$72:N210)</f>
        <v>0</v>
      </c>
      <c r="O211" s="504"/>
      <c r="P211" s="504">
        <f t="shared" si="5"/>
        <v>0</v>
      </c>
      <c r="Q211" s="504"/>
      <c r="R211" s="504"/>
    </row>
    <row r="212" spans="5:18" x14ac:dyDescent="0.3">
      <c r="E212" s="195" t="str">
        <f>IF(Dades!E802="","",Dades!E802)</f>
        <v/>
      </c>
      <c r="F212" s="397">
        <f>(DSUM('1_Combustibles fósiles'!$E$17:$N$39,"emissions",'6.1_Resultados Illes Balears'!E$71:E212)/1000)-SUM(F$72:F211)</f>
        <v>0</v>
      </c>
      <c r="G212" s="397">
        <f>((DSUM('1_Combustibles fósiles'!$E$47:$U$67,"emissions1",'6.1_Resultados Illes Balears'!E$71:E212)+DSUM('1_Combustibles fósiles'!$E$47:$U$67,"emissions2",'6.1_Resultados Illes Balears'!E$71:E212))/1000)-SUM(G$72:G211)</f>
        <v>0</v>
      </c>
      <c r="H212" s="397">
        <f>(DSUM('2_Fluorados'!$E$11:$P$33,"emissions",'6.1_Resultados Illes Balears'!E$71:E212)/1000)-SUM(H$72:H211)</f>
        <v>0</v>
      </c>
      <c r="I212" s="503">
        <f>(DSUM('3_Emisiones proceso'!$E$13:$K$35,"emissions",'6.1_Resultados Illes Balears'!E$71:E212)/1000)-SUM(I$72:I211)</f>
        <v>0</v>
      </c>
      <c r="J212" s="503"/>
      <c r="K212" s="504">
        <f t="shared" si="4"/>
        <v>0</v>
      </c>
      <c r="L212" s="504"/>
      <c r="M212" s="504"/>
      <c r="N212" s="503">
        <f>((DSUM('4.1_Electricidad Illes Balears'!$E$20:$J$42,"emisiones",'6.1_Resultados Illes Balears'!E$71:E212)+DSUM('4.1_Electricidad Illes Balears'!$E$50:$K$70,"emisiones",'6.1_Resultados Illes Balears'!E$71:E212))/1000)-SUM(N$72:N211)</f>
        <v>0</v>
      </c>
      <c r="O212" s="504"/>
      <c r="P212" s="504">
        <f t="shared" si="5"/>
        <v>0</v>
      </c>
      <c r="Q212" s="504"/>
      <c r="R212" s="504"/>
    </row>
    <row r="213" spans="5:18" x14ac:dyDescent="0.3">
      <c r="E213" s="195" t="str">
        <f>IF(Dades!E803="","",Dades!E803)</f>
        <v/>
      </c>
      <c r="F213" s="397">
        <f>(DSUM('1_Combustibles fósiles'!$E$17:$N$39,"emissions",'6.1_Resultados Illes Balears'!E$71:E213)/1000)-SUM(F$72:F212)</f>
        <v>0</v>
      </c>
      <c r="G213" s="397">
        <f>((DSUM('1_Combustibles fósiles'!$E$47:$U$67,"emissions1",'6.1_Resultados Illes Balears'!E$71:E213)+DSUM('1_Combustibles fósiles'!$E$47:$U$67,"emissions2",'6.1_Resultados Illes Balears'!E$71:E213))/1000)-SUM(G$72:G212)</f>
        <v>0</v>
      </c>
      <c r="H213" s="397">
        <f>(DSUM('2_Fluorados'!$E$11:$P$33,"emissions",'6.1_Resultados Illes Balears'!E$71:E213)/1000)-SUM(H$72:H212)</f>
        <v>0</v>
      </c>
      <c r="I213" s="503">
        <f>(DSUM('3_Emisiones proceso'!$E$13:$K$35,"emissions",'6.1_Resultados Illes Balears'!E$71:E213)/1000)-SUM(I$72:I212)</f>
        <v>0</v>
      </c>
      <c r="J213" s="503"/>
      <c r="K213" s="504">
        <f t="shared" si="4"/>
        <v>0</v>
      </c>
      <c r="L213" s="504"/>
      <c r="M213" s="504"/>
      <c r="N213" s="503">
        <f>((DSUM('4.1_Electricidad Illes Balears'!$E$20:$J$42,"emisiones",'6.1_Resultados Illes Balears'!E$71:E213)+DSUM('4.1_Electricidad Illes Balears'!$E$50:$K$70,"emisiones",'6.1_Resultados Illes Balears'!E$71:E213))/1000)-SUM(N$72:N212)</f>
        <v>0</v>
      </c>
      <c r="O213" s="504"/>
      <c r="P213" s="504">
        <f t="shared" si="5"/>
        <v>0</v>
      </c>
      <c r="Q213" s="504"/>
      <c r="R213" s="504"/>
    </row>
    <row r="214" spans="5:18" x14ac:dyDescent="0.3">
      <c r="E214" s="195" t="str">
        <f>IF(Dades!E804="","",Dades!E804)</f>
        <v/>
      </c>
      <c r="F214" s="397">
        <f>(DSUM('1_Combustibles fósiles'!$E$17:$N$39,"emissions",'6.1_Resultados Illes Balears'!E$71:E214)/1000)-SUM(F$72:F213)</f>
        <v>0</v>
      </c>
      <c r="G214" s="397">
        <f>((DSUM('1_Combustibles fósiles'!$E$47:$U$67,"emissions1",'6.1_Resultados Illes Balears'!E$71:E214)+DSUM('1_Combustibles fósiles'!$E$47:$U$67,"emissions2",'6.1_Resultados Illes Balears'!E$71:E214))/1000)-SUM(G$72:G213)</f>
        <v>0</v>
      </c>
      <c r="H214" s="397">
        <f>(DSUM('2_Fluorados'!$E$11:$P$33,"emissions",'6.1_Resultados Illes Balears'!E$71:E214)/1000)-SUM(H$72:H213)</f>
        <v>0</v>
      </c>
      <c r="I214" s="503">
        <f>(DSUM('3_Emisiones proceso'!$E$13:$K$35,"emissions",'6.1_Resultados Illes Balears'!E$71:E214)/1000)-SUM(I$72:I213)</f>
        <v>0</v>
      </c>
      <c r="J214" s="503"/>
      <c r="K214" s="504">
        <f t="shared" si="4"/>
        <v>0</v>
      </c>
      <c r="L214" s="504"/>
      <c r="M214" s="504"/>
      <c r="N214" s="503">
        <f>((DSUM('4.1_Electricidad Illes Balears'!$E$20:$J$42,"emisiones",'6.1_Resultados Illes Balears'!E$71:E214)+DSUM('4.1_Electricidad Illes Balears'!$E$50:$K$70,"emisiones",'6.1_Resultados Illes Balears'!E$71:E214))/1000)-SUM(N$72:N213)</f>
        <v>0</v>
      </c>
      <c r="O214" s="504"/>
      <c r="P214" s="504">
        <f t="shared" si="5"/>
        <v>0</v>
      </c>
      <c r="Q214" s="504"/>
      <c r="R214" s="504"/>
    </row>
    <row r="215" spans="5:18" x14ac:dyDescent="0.3">
      <c r="E215" s="195" t="str">
        <f>IF(Dades!E805="","",Dades!E805)</f>
        <v/>
      </c>
      <c r="F215" s="397">
        <f>(DSUM('1_Combustibles fósiles'!$E$17:$N$39,"emissions",'6.1_Resultados Illes Balears'!E$71:E215)/1000)-SUM(F$72:F214)</f>
        <v>0</v>
      </c>
      <c r="G215" s="397">
        <f>((DSUM('1_Combustibles fósiles'!$E$47:$U$67,"emissions1",'6.1_Resultados Illes Balears'!E$71:E215)+DSUM('1_Combustibles fósiles'!$E$47:$U$67,"emissions2",'6.1_Resultados Illes Balears'!E$71:E215))/1000)-SUM(G$72:G214)</f>
        <v>0</v>
      </c>
      <c r="H215" s="397">
        <f>(DSUM('2_Fluorados'!$E$11:$P$33,"emissions",'6.1_Resultados Illes Balears'!E$71:E215)/1000)-SUM(H$72:H214)</f>
        <v>0</v>
      </c>
      <c r="I215" s="503">
        <f>(DSUM('3_Emisiones proceso'!$E$13:$K$35,"emissions",'6.1_Resultados Illes Balears'!E$71:E215)/1000)-SUM(I$72:I214)</f>
        <v>0</v>
      </c>
      <c r="J215" s="503"/>
      <c r="K215" s="504">
        <f t="shared" si="4"/>
        <v>0</v>
      </c>
      <c r="L215" s="504"/>
      <c r="M215" s="504"/>
      <c r="N215" s="503">
        <f>((DSUM('4.1_Electricidad Illes Balears'!$E$20:$J$42,"emisiones",'6.1_Resultados Illes Balears'!E$71:E215)+DSUM('4.1_Electricidad Illes Balears'!$E$50:$K$70,"emisiones",'6.1_Resultados Illes Balears'!E$71:E215))/1000)-SUM(N$72:N214)</f>
        <v>0</v>
      </c>
      <c r="O215" s="504"/>
      <c r="P215" s="504">
        <f t="shared" si="5"/>
        <v>0</v>
      </c>
      <c r="Q215" s="504"/>
      <c r="R215" s="504"/>
    </row>
    <row r="216" spans="5:18" x14ac:dyDescent="0.3">
      <c r="E216" s="195" t="str">
        <f>IF(Dades!E806="","",Dades!E806)</f>
        <v/>
      </c>
      <c r="F216" s="397">
        <f>(DSUM('1_Combustibles fósiles'!$E$17:$N$39,"emissions",'6.1_Resultados Illes Balears'!E$71:E216)/1000)-SUM(F$72:F215)</f>
        <v>0</v>
      </c>
      <c r="G216" s="397">
        <f>((DSUM('1_Combustibles fósiles'!$E$47:$U$67,"emissions1",'6.1_Resultados Illes Balears'!E$71:E216)+DSUM('1_Combustibles fósiles'!$E$47:$U$67,"emissions2",'6.1_Resultados Illes Balears'!E$71:E216))/1000)-SUM(G$72:G215)</f>
        <v>0</v>
      </c>
      <c r="H216" s="397">
        <f>(DSUM('2_Fluorados'!$E$11:$P$33,"emissions",'6.1_Resultados Illes Balears'!E$71:E216)/1000)-SUM(H$72:H215)</f>
        <v>0</v>
      </c>
      <c r="I216" s="503">
        <f>(DSUM('3_Emisiones proceso'!$E$13:$K$35,"emissions",'6.1_Resultados Illes Balears'!E$71:E216)/1000)-SUM(I$72:I215)</f>
        <v>0</v>
      </c>
      <c r="J216" s="503"/>
      <c r="K216" s="504">
        <f t="shared" si="4"/>
        <v>0</v>
      </c>
      <c r="L216" s="504"/>
      <c r="M216" s="504"/>
      <c r="N216" s="503">
        <f>((DSUM('4.1_Electricidad Illes Balears'!$E$20:$J$42,"emisiones",'6.1_Resultados Illes Balears'!E$71:E216)+DSUM('4.1_Electricidad Illes Balears'!$E$50:$K$70,"emisiones",'6.1_Resultados Illes Balears'!E$71:E216))/1000)-SUM(N$72:N215)</f>
        <v>0</v>
      </c>
      <c r="O216" s="504"/>
      <c r="P216" s="504">
        <f t="shared" si="5"/>
        <v>0</v>
      </c>
      <c r="Q216" s="504"/>
      <c r="R216" s="504"/>
    </row>
    <row r="217" spans="5:18" x14ac:dyDescent="0.3">
      <c r="E217" s="195" t="str">
        <f>IF(Dades!E807="","",Dades!E807)</f>
        <v/>
      </c>
      <c r="F217" s="397">
        <f>(DSUM('1_Combustibles fósiles'!$E$17:$N$39,"emissions",'6.1_Resultados Illes Balears'!E$71:E217)/1000)-SUM(F$72:F216)</f>
        <v>0</v>
      </c>
      <c r="G217" s="397">
        <f>((DSUM('1_Combustibles fósiles'!$E$47:$U$67,"emissions1",'6.1_Resultados Illes Balears'!E$71:E217)+DSUM('1_Combustibles fósiles'!$E$47:$U$67,"emissions2",'6.1_Resultados Illes Balears'!E$71:E217))/1000)-SUM(G$72:G216)</f>
        <v>0</v>
      </c>
      <c r="H217" s="397">
        <f>(DSUM('2_Fluorados'!$E$11:$P$33,"emissions",'6.1_Resultados Illes Balears'!E$71:E217)/1000)-SUM(H$72:H216)</f>
        <v>0</v>
      </c>
      <c r="I217" s="503">
        <f>(DSUM('3_Emisiones proceso'!$E$13:$K$35,"emissions",'6.1_Resultados Illes Balears'!E$71:E217)/1000)-SUM(I$72:I216)</f>
        <v>0</v>
      </c>
      <c r="J217" s="503"/>
      <c r="K217" s="504">
        <f t="shared" si="4"/>
        <v>0</v>
      </c>
      <c r="L217" s="504"/>
      <c r="M217" s="504"/>
      <c r="N217" s="503">
        <f>((DSUM('4.1_Electricidad Illes Balears'!$E$20:$J$42,"emisiones",'6.1_Resultados Illes Balears'!E$71:E217)+DSUM('4.1_Electricidad Illes Balears'!$E$50:$K$70,"emisiones",'6.1_Resultados Illes Balears'!E$71:E217))/1000)-SUM(N$72:N216)</f>
        <v>0</v>
      </c>
      <c r="O217" s="504"/>
      <c r="P217" s="504">
        <f t="shared" si="5"/>
        <v>0</v>
      </c>
      <c r="Q217" s="504"/>
      <c r="R217" s="504"/>
    </row>
    <row r="218" spans="5:18" x14ac:dyDescent="0.3">
      <c r="E218" s="195" t="str">
        <f>IF(Dades!E808="","",Dades!E808)</f>
        <v/>
      </c>
      <c r="F218" s="397">
        <f>(DSUM('1_Combustibles fósiles'!$E$17:$N$39,"emissions",'6.1_Resultados Illes Balears'!E$71:E218)/1000)-SUM(F$72:F217)</f>
        <v>0</v>
      </c>
      <c r="G218" s="397">
        <f>((DSUM('1_Combustibles fósiles'!$E$47:$U$67,"emissions1",'6.1_Resultados Illes Balears'!E$71:E218)+DSUM('1_Combustibles fósiles'!$E$47:$U$67,"emissions2",'6.1_Resultados Illes Balears'!E$71:E218))/1000)-SUM(G$72:G217)</f>
        <v>0</v>
      </c>
      <c r="H218" s="397">
        <f>(DSUM('2_Fluorados'!$E$11:$P$33,"emissions",'6.1_Resultados Illes Balears'!E$71:E218)/1000)-SUM(H$72:H217)</f>
        <v>0</v>
      </c>
      <c r="I218" s="503">
        <f>(DSUM('3_Emisiones proceso'!$E$13:$K$35,"emissions",'6.1_Resultados Illes Balears'!E$71:E218)/1000)-SUM(I$72:I217)</f>
        <v>0</v>
      </c>
      <c r="J218" s="503"/>
      <c r="K218" s="504">
        <f t="shared" si="4"/>
        <v>0</v>
      </c>
      <c r="L218" s="504"/>
      <c r="M218" s="504"/>
      <c r="N218" s="503">
        <f>((DSUM('4.1_Electricidad Illes Balears'!$E$20:$J$42,"emisiones",'6.1_Resultados Illes Balears'!E$71:E218)+DSUM('4.1_Electricidad Illes Balears'!$E$50:$K$70,"emisiones",'6.1_Resultados Illes Balears'!E$71:E218))/1000)-SUM(N$72:N217)</f>
        <v>0</v>
      </c>
      <c r="O218" s="504"/>
      <c r="P218" s="504">
        <f t="shared" si="5"/>
        <v>0</v>
      </c>
      <c r="Q218" s="504"/>
      <c r="R218" s="504"/>
    </row>
    <row r="219" spans="5:18" x14ac:dyDescent="0.3">
      <c r="E219" s="195" t="str">
        <f>IF(Dades!E809="","",Dades!E809)</f>
        <v/>
      </c>
      <c r="F219" s="397">
        <f>(DSUM('1_Combustibles fósiles'!$E$17:$N$39,"emissions",'6.1_Resultados Illes Balears'!E$71:E219)/1000)-SUM(F$72:F218)</f>
        <v>0</v>
      </c>
      <c r="G219" s="397">
        <f>((DSUM('1_Combustibles fósiles'!$E$47:$U$67,"emissions1",'6.1_Resultados Illes Balears'!E$71:E219)+DSUM('1_Combustibles fósiles'!$E$47:$U$67,"emissions2",'6.1_Resultados Illes Balears'!E$71:E219))/1000)-SUM(G$72:G218)</f>
        <v>0</v>
      </c>
      <c r="H219" s="397">
        <f>(DSUM('2_Fluorados'!$E$11:$P$33,"emissions",'6.1_Resultados Illes Balears'!E$71:E219)/1000)-SUM(H$72:H218)</f>
        <v>0</v>
      </c>
      <c r="I219" s="503">
        <f>(DSUM('3_Emisiones proceso'!$E$13:$K$35,"emissions",'6.1_Resultados Illes Balears'!E$71:E219)/1000)-SUM(I$72:I218)</f>
        <v>0</v>
      </c>
      <c r="J219" s="503"/>
      <c r="K219" s="504">
        <f t="shared" si="4"/>
        <v>0</v>
      </c>
      <c r="L219" s="504"/>
      <c r="M219" s="504"/>
      <c r="N219" s="503">
        <f>((DSUM('4.1_Electricidad Illes Balears'!$E$20:$J$42,"emisiones",'6.1_Resultados Illes Balears'!E$71:E219)+DSUM('4.1_Electricidad Illes Balears'!$E$50:$K$70,"emisiones",'6.1_Resultados Illes Balears'!E$71:E219))/1000)-SUM(N$72:N218)</f>
        <v>0</v>
      </c>
      <c r="O219" s="504"/>
      <c r="P219" s="504">
        <f t="shared" si="5"/>
        <v>0</v>
      </c>
      <c r="Q219" s="504"/>
      <c r="R219" s="504"/>
    </row>
    <row r="220" spans="5:18" x14ac:dyDescent="0.3">
      <c r="E220" s="195" t="str">
        <f>IF(Dades!E810="","",Dades!E810)</f>
        <v/>
      </c>
      <c r="F220" s="397">
        <f>(DSUM('1_Combustibles fósiles'!$E$17:$N$39,"emissions",'6.1_Resultados Illes Balears'!E$71:E220)/1000)-SUM(F$72:F219)</f>
        <v>0</v>
      </c>
      <c r="G220" s="397">
        <f>((DSUM('1_Combustibles fósiles'!$E$47:$U$67,"emissions1",'6.1_Resultados Illes Balears'!E$71:E220)+DSUM('1_Combustibles fósiles'!$E$47:$U$67,"emissions2",'6.1_Resultados Illes Balears'!E$71:E220))/1000)-SUM(G$72:G219)</f>
        <v>0</v>
      </c>
      <c r="H220" s="397">
        <f>(DSUM('2_Fluorados'!$E$11:$P$33,"emissions",'6.1_Resultados Illes Balears'!E$71:E220)/1000)-SUM(H$72:H219)</f>
        <v>0</v>
      </c>
      <c r="I220" s="503">
        <f>(DSUM('3_Emisiones proceso'!$E$13:$K$35,"emissions",'6.1_Resultados Illes Balears'!E$71:E220)/1000)-SUM(I$72:I219)</f>
        <v>0</v>
      </c>
      <c r="J220" s="503"/>
      <c r="K220" s="504">
        <f t="shared" si="4"/>
        <v>0</v>
      </c>
      <c r="L220" s="504"/>
      <c r="M220" s="504"/>
      <c r="N220" s="503">
        <f>((DSUM('4.1_Electricidad Illes Balears'!$E$20:$J$42,"emisiones",'6.1_Resultados Illes Balears'!E$71:E220)+DSUM('4.1_Electricidad Illes Balears'!$E$50:$K$70,"emisiones",'6.1_Resultados Illes Balears'!E$71:E220))/1000)-SUM(N$72:N219)</f>
        <v>0</v>
      </c>
      <c r="O220" s="504"/>
      <c r="P220" s="504">
        <f t="shared" si="5"/>
        <v>0</v>
      </c>
      <c r="Q220" s="504"/>
      <c r="R220" s="504"/>
    </row>
    <row r="221" spans="5:18" x14ac:dyDescent="0.3">
      <c r="E221" s="195" t="str">
        <f>IF(Dades!E811="","",Dades!E811)</f>
        <v/>
      </c>
      <c r="F221" s="397">
        <f>(DSUM('1_Combustibles fósiles'!$E$17:$N$39,"emissions",'6.1_Resultados Illes Balears'!E$71:E221)/1000)-SUM(F$72:F220)</f>
        <v>0</v>
      </c>
      <c r="G221" s="397">
        <f>((DSUM('1_Combustibles fósiles'!$E$47:$U$67,"emissions1",'6.1_Resultados Illes Balears'!E$71:E221)+DSUM('1_Combustibles fósiles'!$E$47:$U$67,"emissions2",'6.1_Resultados Illes Balears'!E$71:E221))/1000)-SUM(G$72:G220)</f>
        <v>0</v>
      </c>
      <c r="H221" s="397">
        <f>(DSUM('2_Fluorados'!$E$11:$P$33,"emissions",'6.1_Resultados Illes Balears'!E$71:E221)/1000)-SUM(H$72:H220)</f>
        <v>0</v>
      </c>
      <c r="I221" s="503">
        <f>(DSUM('3_Emisiones proceso'!$E$13:$K$35,"emissions",'6.1_Resultados Illes Balears'!E$71:E221)/1000)-SUM(I$72:I220)</f>
        <v>0</v>
      </c>
      <c r="J221" s="503"/>
      <c r="K221" s="504">
        <f t="shared" si="4"/>
        <v>0</v>
      </c>
      <c r="L221" s="504"/>
      <c r="M221" s="504"/>
      <c r="N221" s="503">
        <f>((DSUM('4.1_Electricidad Illes Balears'!$E$20:$J$42,"emisiones",'6.1_Resultados Illes Balears'!E$71:E221)+DSUM('4.1_Electricidad Illes Balears'!$E$50:$K$70,"emisiones",'6.1_Resultados Illes Balears'!E$71:E221))/1000)-SUM(N$72:N220)</f>
        <v>0</v>
      </c>
      <c r="O221" s="504"/>
      <c r="P221" s="504">
        <f t="shared" si="5"/>
        <v>0</v>
      </c>
      <c r="Q221" s="504"/>
      <c r="R221" s="504"/>
    </row>
    <row r="222" spans="5:18" x14ac:dyDescent="0.3">
      <c r="E222" s="195" t="str">
        <f>IF(Dades!E812="","",Dades!E812)</f>
        <v/>
      </c>
      <c r="F222" s="397">
        <f>(DSUM('1_Combustibles fósiles'!$E$17:$N$39,"emissions",'6.1_Resultados Illes Balears'!E$71:E222)/1000)-SUM(F$72:F221)</f>
        <v>0</v>
      </c>
      <c r="G222" s="397">
        <f>((DSUM('1_Combustibles fósiles'!$E$47:$U$67,"emissions1",'6.1_Resultados Illes Balears'!E$71:E222)+DSUM('1_Combustibles fósiles'!$E$47:$U$67,"emissions2",'6.1_Resultados Illes Balears'!E$71:E222))/1000)-SUM(G$72:G221)</f>
        <v>0</v>
      </c>
      <c r="H222" s="397">
        <f>(DSUM('2_Fluorados'!$E$11:$P$33,"emissions",'6.1_Resultados Illes Balears'!E$71:E222)/1000)-SUM(H$72:H221)</f>
        <v>0</v>
      </c>
      <c r="I222" s="503">
        <f>(DSUM('3_Emisiones proceso'!$E$13:$K$35,"emissions",'6.1_Resultados Illes Balears'!E$71:E222)/1000)-SUM(I$72:I221)</f>
        <v>0</v>
      </c>
      <c r="J222" s="503"/>
      <c r="K222" s="504">
        <f t="shared" si="4"/>
        <v>0</v>
      </c>
      <c r="L222" s="504"/>
      <c r="M222" s="504"/>
      <c r="N222" s="503">
        <f>((DSUM('4.1_Electricidad Illes Balears'!$E$20:$J$42,"emisiones",'6.1_Resultados Illes Balears'!E$71:E222)+DSUM('4.1_Electricidad Illes Balears'!$E$50:$K$70,"emisiones",'6.1_Resultados Illes Balears'!E$71:E222))/1000)-SUM(N$72:N221)</f>
        <v>0</v>
      </c>
      <c r="O222" s="504"/>
      <c r="P222" s="504">
        <f t="shared" si="5"/>
        <v>0</v>
      </c>
      <c r="Q222" s="504"/>
      <c r="R222" s="504"/>
    </row>
    <row r="223" spans="5:18" x14ac:dyDescent="0.3">
      <c r="E223" s="195" t="str">
        <f>IF(Dades!E813="","",Dades!E813)</f>
        <v/>
      </c>
      <c r="F223" s="397">
        <f>(DSUM('1_Combustibles fósiles'!$E$17:$N$39,"emissions",'6.1_Resultados Illes Balears'!E$71:E223)/1000)-SUM(F$72:F222)</f>
        <v>0</v>
      </c>
      <c r="G223" s="397">
        <f>((DSUM('1_Combustibles fósiles'!$E$47:$U$67,"emissions1",'6.1_Resultados Illes Balears'!E$71:E223)+DSUM('1_Combustibles fósiles'!$E$47:$U$67,"emissions2",'6.1_Resultados Illes Balears'!E$71:E223))/1000)-SUM(G$72:G222)</f>
        <v>0</v>
      </c>
      <c r="H223" s="397">
        <f>(DSUM('2_Fluorados'!$E$11:$P$33,"emissions",'6.1_Resultados Illes Balears'!E$71:E223)/1000)-SUM(H$72:H222)</f>
        <v>0</v>
      </c>
      <c r="I223" s="503">
        <f>(DSUM('3_Emisiones proceso'!$E$13:$K$35,"emissions",'6.1_Resultados Illes Balears'!E$71:E223)/1000)-SUM(I$72:I222)</f>
        <v>0</v>
      </c>
      <c r="J223" s="503"/>
      <c r="K223" s="504">
        <f t="shared" si="4"/>
        <v>0</v>
      </c>
      <c r="L223" s="504"/>
      <c r="M223" s="504"/>
      <c r="N223" s="503">
        <f>((DSUM('4.1_Electricidad Illes Balears'!$E$20:$J$42,"emisiones",'6.1_Resultados Illes Balears'!E$71:E223)+DSUM('4.1_Electricidad Illes Balears'!$E$50:$K$70,"emisiones",'6.1_Resultados Illes Balears'!E$71:E223))/1000)-SUM(N$72:N222)</f>
        <v>0</v>
      </c>
      <c r="O223" s="504"/>
      <c r="P223" s="504">
        <f t="shared" si="5"/>
        <v>0</v>
      </c>
      <c r="Q223" s="504"/>
      <c r="R223" s="504"/>
    </row>
    <row r="224" spans="5:18" x14ac:dyDescent="0.3">
      <c r="E224" s="195" t="str">
        <f>IF(Dades!E814="","",Dades!E814)</f>
        <v/>
      </c>
      <c r="F224" s="397">
        <f>(DSUM('1_Combustibles fósiles'!$E$17:$N$39,"emissions",'6.1_Resultados Illes Balears'!E$71:E224)/1000)-SUM(F$72:F223)</f>
        <v>0</v>
      </c>
      <c r="G224" s="397">
        <f>((DSUM('1_Combustibles fósiles'!$E$47:$U$67,"emissions1",'6.1_Resultados Illes Balears'!E$71:E224)+DSUM('1_Combustibles fósiles'!$E$47:$U$67,"emissions2",'6.1_Resultados Illes Balears'!E$71:E224))/1000)-SUM(G$72:G223)</f>
        <v>0</v>
      </c>
      <c r="H224" s="397">
        <f>(DSUM('2_Fluorados'!$E$11:$P$33,"emissions",'6.1_Resultados Illes Balears'!E$71:E224)/1000)-SUM(H$72:H223)</f>
        <v>0</v>
      </c>
      <c r="I224" s="503">
        <f>(DSUM('3_Emisiones proceso'!$E$13:$K$35,"emissions",'6.1_Resultados Illes Balears'!E$71:E224)/1000)-SUM(I$72:I223)</f>
        <v>0</v>
      </c>
      <c r="J224" s="503"/>
      <c r="K224" s="504">
        <f t="shared" si="4"/>
        <v>0</v>
      </c>
      <c r="L224" s="504"/>
      <c r="M224" s="504"/>
      <c r="N224" s="503">
        <f>((DSUM('4.1_Electricidad Illes Balears'!$E$20:$J$42,"emisiones",'6.1_Resultados Illes Balears'!E$71:E224)+DSUM('4.1_Electricidad Illes Balears'!$E$50:$K$70,"emisiones",'6.1_Resultados Illes Balears'!E$71:E224))/1000)-SUM(N$72:N223)</f>
        <v>0</v>
      </c>
      <c r="O224" s="504"/>
      <c r="P224" s="504">
        <f t="shared" si="5"/>
        <v>0</v>
      </c>
      <c r="Q224" s="504"/>
      <c r="R224" s="504"/>
    </row>
    <row r="225" spans="5:18" x14ac:dyDescent="0.3">
      <c r="E225" s="195" t="str">
        <f>IF(Dades!E815="","",Dades!E815)</f>
        <v/>
      </c>
      <c r="F225" s="397">
        <f>(DSUM('1_Combustibles fósiles'!$E$17:$N$39,"emissions",'6.1_Resultados Illes Balears'!E$71:E225)/1000)-SUM(F$72:F224)</f>
        <v>0</v>
      </c>
      <c r="G225" s="397">
        <f>((DSUM('1_Combustibles fósiles'!$E$47:$U$67,"emissions1",'6.1_Resultados Illes Balears'!E$71:E225)+DSUM('1_Combustibles fósiles'!$E$47:$U$67,"emissions2",'6.1_Resultados Illes Balears'!E$71:E225))/1000)-SUM(G$72:G224)</f>
        <v>0</v>
      </c>
      <c r="H225" s="397">
        <f>(DSUM('2_Fluorados'!$E$11:$P$33,"emissions",'6.1_Resultados Illes Balears'!E$71:E225)/1000)-SUM(H$72:H224)</f>
        <v>0</v>
      </c>
      <c r="I225" s="503">
        <f>(DSUM('3_Emisiones proceso'!$E$13:$K$35,"emissions",'6.1_Resultados Illes Balears'!E$71:E225)/1000)-SUM(I$72:I224)</f>
        <v>0</v>
      </c>
      <c r="J225" s="503"/>
      <c r="K225" s="504">
        <f t="shared" si="4"/>
        <v>0</v>
      </c>
      <c r="L225" s="504"/>
      <c r="M225" s="504"/>
      <c r="N225" s="503">
        <f>((DSUM('4.1_Electricidad Illes Balears'!$E$20:$J$42,"emisiones",'6.1_Resultados Illes Balears'!E$71:E225)+DSUM('4.1_Electricidad Illes Balears'!$E$50:$K$70,"emisiones",'6.1_Resultados Illes Balears'!E$71:E225))/1000)-SUM(N$72:N224)</f>
        <v>0</v>
      </c>
      <c r="O225" s="504"/>
      <c r="P225" s="504">
        <f t="shared" si="5"/>
        <v>0</v>
      </c>
      <c r="Q225" s="504"/>
      <c r="R225" s="504"/>
    </row>
    <row r="226" spans="5:18" x14ac:dyDescent="0.3">
      <c r="E226" s="195" t="str">
        <f>IF(Dades!E816="","",Dades!E816)</f>
        <v/>
      </c>
      <c r="F226" s="397">
        <f>(DSUM('1_Combustibles fósiles'!$E$17:$N$39,"emissions",'6.1_Resultados Illes Balears'!E$71:E226)/1000)-SUM(F$72:F225)</f>
        <v>0</v>
      </c>
      <c r="G226" s="397">
        <f>((DSUM('1_Combustibles fósiles'!$E$47:$U$67,"emissions1",'6.1_Resultados Illes Balears'!E$71:E226)+DSUM('1_Combustibles fósiles'!$E$47:$U$67,"emissions2",'6.1_Resultados Illes Balears'!E$71:E226))/1000)-SUM(G$72:G225)</f>
        <v>0</v>
      </c>
      <c r="H226" s="397">
        <f>(DSUM('2_Fluorados'!$E$11:$P$33,"emissions",'6.1_Resultados Illes Balears'!E$71:E226)/1000)-SUM(H$72:H225)</f>
        <v>0</v>
      </c>
      <c r="I226" s="503">
        <f>(DSUM('3_Emisiones proceso'!$E$13:$K$35,"emissions",'6.1_Resultados Illes Balears'!E$71:E226)/1000)-SUM(I$72:I225)</f>
        <v>0</v>
      </c>
      <c r="J226" s="503"/>
      <c r="K226" s="504">
        <f t="shared" si="4"/>
        <v>0</v>
      </c>
      <c r="L226" s="504"/>
      <c r="M226" s="504"/>
      <c r="N226" s="503">
        <f>((DSUM('4.1_Electricidad Illes Balears'!$E$20:$J$42,"emisiones",'6.1_Resultados Illes Balears'!E$71:E226)+DSUM('4.1_Electricidad Illes Balears'!$E$50:$K$70,"emisiones",'6.1_Resultados Illes Balears'!E$71:E226))/1000)-SUM(N$72:N225)</f>
        <v>0</v>
      </c>
      <c r="O226" s="504"/>
      <c r="P226" s="504">
        <f t="shared" si="5"/>
        <v>0</v>
      </c>
      <c r="Q226" s="504"/>
      <c r="R226" s="504"/>
    </row>
    <row r="227" spans="5:18" x14ac:dyDescent="0.3">
      <c r="E227" s="195" t="str">
        <f>IF(Dades!E817="","",Dades!E817)</f>
        <v/>
      </c>
      <c r="F227" s="397">
        <f>(DSUM('1_Combustibles fósiles'!$E$17:$N$39,"emissions",'6.1_Resultados Illes Balears'!E$71:E227)/1000)-SUM(F$72:F226)</f>
        <v>0</v>
      </c>
      <c r="G227" s="397">
        <f>((DSUM('1_Combustibles fósiles'!$E$47:$U$67,"emissions1",'6.1_Resultados Illes Balears'!E$71:E227)+DSUM('1_Combustibles fósiles'!$E$47:$U$67,"emissions2",'6.1_Resultados Illes Balears'!E$71:E227))/1000)-SUM(G$72:G226)</f>
        <v>0</v>
      </c>
      <c r="H227" s="397">
        <f>(DSUM('2_Fluorados'!$E$11:$P$33,"emissions",'6.1_Resultados Illes Balears'!E$71:E227)/1000)-SUM(H$72:H226)</f>
        <v>0</v>
      </c>
      <c r="I227" s="503">
        <f>(DSUM('3_Emisiones proceso'!$E$13:$K$35,"emissions",'6.1_Resultados Illes Balears'!E$71:E227)/1000)-SUM(I$72:I226)</f>
        <v>0</v>
      </c>
      <c r="J227" s="503"/>
      <c r="K227" s="504">
        <f t="shared" si="4"/>
        <v>0</v>
      </c>
      <c r="L227" s="504"/>
      <c r="M227" s="504"/>
      <c r="N227" s="503">
        <f>((DSUM('4.1_Electricidad Illes Balears'!$E$20:$J$42,"emisiones",'6.1_Resultados Illes Balears'!E$71:E227)+DSUM('4.1_Electricidad Illes Balears'!$E$50:$K$70,"emisiones",'6.1_Resultados Illes Balears'!E$71:E227))/1000)-SUM(N$72:N226)</f>
        <v>0</v>
      </c>
      <c r="O227" s="504"/>
      <c r="P227" s="504">
        <f t="shared" si="5"/>
        <v>0</v>
      </c>
      <c r="Q227" s="504"/>
      <c r="R227" s="504"/>
    </row>
    <row r="228" spans="5:18" x14ac:dyDescent="0.3">
      <c r="E228" s="195" t="str">
        <f>IF(Dades!E818="","",Dades!E818)</f>
        <v/>
      </c>
      <c r="F228" s="397">
        <f>(DSUM('1_Combustibles fósiles'!$E$17:$N$39,"emissions",'6.1_Resultados Illes Balears'!E$71:E228)/1000)-SUM(F$72:F227)</f>
        <v>0</v>
      </c>
      <c r="G228" s="397">
        <f>((DSUM('1_Combustibles fósiles'!$E$47:$U$67,"emissions1",'6.1_Resultados Illes Balears'!E$71:E228)+DSUM('1_Combustibles fósiles'!$E$47:$U$67,"emissions2",'6.1_Resultados Illes Balears'!E$71:E228))/1000)-SUM(G$72:G227)</f>
        <v>0</v>
      </c>
      <c r="H228" s="397">
        <f>(DSUM('2_Fluorados'!$E$11:$P$33,"emissions",'6.1_Resultados Illes Balears'!E$71:E228)/1000)-SUM(H$72:H227)</f>
        <v>0</v>
      </c>
      <c r="I228" s="503">
        <f>(DSUM('3_Emisiones proceso'!$E$13:$K$35,"emissions",'6.1_Resultados Illes Balears'!E$71:E228)/1000)-SUM(I$72:I227)</f>
        <v>0</v>
      </c>
      <c r="J228" s="503"/>
      <c r="K228" s="504">
        <f t="shared" si="4"/>
        <v>0</v>
      </c>
      <c r="L228" s="504"/>
      <c r="M228" s="504"/>
      <c r="N228" s="503">
        <f>((DSUM('4.1_Electricidad Illes Balears'!$E$20:$J$42,"emisiones",'6.1_Resultados Illes Balears'!E$71:E228)+DSUM('4.1_Electricidad Illes Balears'!$E$50:$K$70,"emisiones",'6.1_Resultados Illes Balears'!E$71:E228))/1000)-SUM(N$72:N227)</f>
        <v>0</v>
      </c>
      <c r="O228" s="504"/>
      <c r="P228" s="504">
        <f t="shared" si="5"/>
        <v>0</v>
      </c>
      <c r="Q228" s="504"/>
      <c r="R228" s="504"/>
    </row>
    <row r="229" spans="5:18" x14ac:dyDescent="0.3">
      <c r="E229" s="195" t="str">
        <f>IF(Dades!E819="","",Dades!E819)</f>
        <v/>
      </c>
      <c r="F229" s="397">
        <f>(DSUM('1_Combustibles fósiles'!$E$17:$N$39,"emissions",'6.1_Resultados Illes Balears'!E$71:E229)/1000)-SUM(F$72:F228)</f>
        <v>0</v>
      </c>
      <c r="G229" s="397">
        <f>((DSUM('1_Combustibles fósiles'!$E$47:$U$67,"emissions1",'6.1_Resultados Illes Balears'!E$71:E229)+DSUM('1_Combustibles fósiles'!$E$47:$U$67,"emissions2",'6.1_Resultados Illes Balears'!E$71:E229))/1000)-SUM(G$72:G228)</f>
        <v>0</v>
      </c>
      <c r="H229" s="397">
        <f>(DSUM('2_Fluorados'!$E$11:$P$33,"emissions",'6.1_Resultados Illes Balears'!E$71:E229)/1000)-SUM(H$72:H228)</f>
        <v>0</v>
      </c>
      <c r="I229" s="503">
        <f>(DSUM('3_Emisiones proceso'!$E$13:$K$35,"emissions",'6.1_Resultados Illes Balears'!E$71:E229)/1000)-SUM(I$72:I228)</f>
        <v>0</v>
      </c>
      <c r="J229" s="503"/>
      <c r="K229" s="504">
        <f t="shared" si="4"/>
        <v>0</v>
      </c>
      <c r="L229" s="504"/>
      <c r="M229" s="504"/>
      <c r="N229" s="503">
        <f>((DSUM('4.1_Electricidad Illes Balears'!$E$20:$J$42,"emisiones",'6.1_Resultados Illes Balears'!E$71:E229)+DSUM('4.1_Electricidad Illes Balears'!$E$50:$K$70,"emisiones",'6.1_Resultados Illes Balears'!E$71:E229))/1000)-SUM(N$72:N228)</f>
        <v>0</v>
      </c>
      <c r="O229" s="504"/>
      <c r="P229" s="504">
        <f t="shared" si="5"/>
        <v>0</v>
      </c>
      <c r="Q229" s="504"/>
      <c r="R229" s="504"/>
    </row>
    <row r="230" spans="5:18" x14ac:dyDescent="0.3">
      <c r="E230" s="195" t="str">
        <f>IF(Dades!E820="","",Dades!E820)</f>
        <v/>
      </c>
      <c r="F230" s="397">
        <f>(DSUM('1_Combustibles fósiles'!$E$17:$N$39,"emissions",'6.1_Resultados Illes Balears'!E$71:E230)/1000)-SUM(F$72:F229)</f>
        <v>0</v>
      </c>
      <c r="G230" s="397">
        <f>((DSUM('1_Combustibles fósiles'!$E$47:$U$67,"emissions1",'6.1_Resultados Illes Balears'!E$71:E230)+DSUM('1_Combustibles fósiles'!$E$47:$U$67,"emissions2",'6.1_Resultados Illes Balears'!E$71:E230))/1000)-SUM(G$72:G229)</f>
        <v>0</v>
      </c>
      <c r="H230" s="397">
        <f>(DSUM('2_Fluorados'!$E$11:$P$33,"emissions",'6.1_Resultados Illes Balears'!E$71:E230)/1000)-SUM(H$72:H229)</f>
        <v>0</v>
      </c>
      <c r="I230" s="503">
        <f>(DSUM('3_Emisiones proceso'!$E$13:$K$35,"emissions",'6.1_Resultados Illes Balears'!E$71:E230)/1000)-SUM(I$72:I229)</f>
        <v>0</v>
      </c>
      <c r="J230" s="503"/>
      <c r="K230" s="504">
        <f t="shared" si="4"/>
        <v>0</v>
      </c>
      <c r="L230" s="504"/>
      <c r="M230" s="504"/>
      <c r="N230" s="503">
        <f>((DSUM('4.1_Electricidad Illes Balears'!$E$20:$J$42,"emisiones",'6.1_Resultados Illes Balears'!E$71:E230)+DSUM('4.1_Electricidad Illes Balears'!$E$50:$K$70,"emisiones",'6.1_Resultados Illes Balears'!E$71:E230))/1000)-SUM(N$72:N229)</f>
        <v>0</v>
      </c>
      <c r="O230" s="504"/>
      <c r="P230" s="504">
        <f t="shared" si="5"/>
        <v>0</v>
      </c>
      <c r="Q230" s="504"/>
      <c r="R230" s="504"/>
    </row>
    <row r="231" spans="5:18" x14ac:dyDescent="0.3">
      <c r="E231" s="195" t="str">
        <f>IF(Dades!E821="","",Dades!E821)</f>
        <v/>
      </c>
      <c r="F231" s="397">
        <f>(DSUM('1_Combustibles fósiles'!$E$17:$N$39,"emissions",'6.1_Resultados Illes Balears'!E$71:E231)/1000)-SUM(F$72:F230)</f>
        <v>0</v>
      </c>
      <c r="G231" s="397">
        <f>((DSUM('1_Combustibles fósiles'!$E$47:$U$67,"emissions1",'6.1_Resultados Illes Balears'!E$71:E231)+DSUM('1_Combustibles fósiles'!$E$47:$U$67,"emissions2",'6.1_Resultados Illes Balears'!E$71:E231))/1000)-SUM(G$72:G230)</f>
        <v>0</v>
      </c>
      <c r="H231" s="397">
        <f>(DSUM('2_Fluorados'!$E$11:$P$33,"emissions",'6.1_Resultados Illes Balears'!E$71:E231)/1000)-SUM(H$72:H230)</f>
        <v>0</v>
      </c>
      <c r="I231" s="503">
        <f>(DSUM('3_Emisiones proceso'!$E$13:$K$35,"emissions",'6.1_Resultados Illes Balears'!E$71:E231)/1000)-SUM(I$72:I230)</f>
        <v>0</v>
      </c>
      <c r="J231" s="503"/>
      <c r="K231" s="504">
        <f t="shared" si="4"/>
        <v>0</v>
      </c>
      <c r="L231" s="504"/>
      <c r="M231" s="504"/>
      <c r="N231" s="503">
        <f>((DSUM('4.1_Electricidad Illes Balears'!$E$20:$J$42,"emisiones",'6.1_Resultados Illes Balears'!E$71:E231)+DSUM('4.1_Electricidad Illes Balears'!$E$50:$K$70,"emisiones",'6.1_Resultados Illes Balears'!E$71:E231))/1000)-SUM(N$72:N230)</f>
        <v>0</v>
      </c>
      <c r="O231" s="504"/>
      <c r="P231" s="504">
        <f t="shared" si="5"/>
        <v>0</v>
      </c>
      <c r="Q231" s="504"/>
      <c r="R231" s="504"/>
    </row>
    <row r="232" spans="5:18" x14ac:dyDescent="0.3">
      <c r="E232" s="195" t="str">
        <f>IF(Dades!E822="","",Dades!E822)</f>
        <v/>
      </c>
      <c r="F232" s="397">
        <f>(DSUM('1_Combustibles fósiles'!$E$17:$N$39,"emissions",'6.1_Resultados Illes Balears'!E$71:E232)/1000)-SUM(F$72:F231)</f>
        <v>0</v>
      </c>
      <c r="G232" s="397">
        <f>((DSUM('1_Combustibles fósiles'!$E$47:$U$67,"emissions1",'6.1_Resultados Illes Balears'!E$71:E232)+DSUM('1_Combustibles fósiles'!$E$47:$U$67,"emissions2",'6.1_Resultados Illes Balears'!E$71:E232))/1000)-SUM(G$72:G231)</f>
        <v>0</v>
      </c>
      <c r="H232" s="397">
        <f>(DSUM('2_Fluorados'!$E$11:$P$33,"emissions",'6.1_Resultados Illes Balears'!E$71:E232)/1000)-SUM(H$72:H231)</f>
        <v>0</v>
      </c>
      <c r="I232" s="503">
        <f>(DSUM('3_Emisiones proceso'!$E$13:$K$35,"emissions",'6.1_Resultados Illes Balears'!E$71:E232)/1000)-SUM(I$72:I231)</f>
        <v>0</v>
      </c>
      <c r="J232" s="503"/>
      <c r="K232" s="504">
        <f t="shared" si="4"/>
        <v>0</v>
      </c>
      <c r="L232" s="504"/>
      <c r="M232" s="504"/>
      <c r="N232" s="503">
        <f>((DSUM('4.1_Electricidad Illes Balears'!$E$20:$J$42,"emisiones",'6.1_Resultados Illes Balears'!E$71:E232)+DSUM('4.1_Electricidad Illes Balears'!$E$50:$K$70,"emisiones",'6.1_Resultados Illes Balears'!E$71:E232))/1000)-SUM(N$72:N231)</f>
        <v>0</v>
      </c>
      <c r="O232" s="504"/>
      <c r="P232" s="504">
        <f t="shared" si="5"/>
        <v>0</v>
      </c>
      <c r="Q232" s="504"/>
      <c r="R232" s="504"/>
    </row>
    <row r="233" spans="5:18" x14ac:dyDescent="0.3">
      <c r="E233" s="195" t="str">
        <f>IF(Dades!E823="","",Dades!E823)</f>
        <v/>
      </c>
      <c r="F233" s="397">
        <f>(DSUM('1_Combustibles fósiles'!$E$17:$N$39,"emissions",'6.1_Resultados Illes Balears'!E$71:E233)/1000)-SUM(F$72:F232)</f>
        <v>0</v>
      </c>
      <c r="G233" s="397">
        <f>((DSUM('1_Combustibles fósiles'!$E$47:$U$67,"emissions1",'6.1_Resultados Illes Balears'!E$71:E233)+DSUM('1_Combustibles fósiles'!$E$47:$U$67,"emissions2",'6.1_Resultados Illes Balears'!E$71:E233))/1000)-SUM(G$72:G232)</f>
        <v>0</v>
      </c>
      <c r="H233" s="397">
        <f>(DSUM('2_Fluorados'!$E$11:$P$33,"emissions",'6.1_Resultados Illes Balears'!E$71:E233)/1000)-SUM(H$72:H232)</f>
        <v>0</v>
      </c>
      <c r="I233" s="503">
        <f>(DSUM('3_Emisiones proceso'!$E$13:$K$35,"emissions",'6.1_Resultados Illes Balears'!E$71:E233)/1000)-SUM(I$72:I232)</f>
        <v>0</v>
      </c>
      <c r="J233" s="503"/>
      <c r="K233" s="504">
        <f t="shared" si="4"/>
        <v>0</v>
      </c>
      <c r="L233" s="504"/>
      <c r="M233" s="504"/>
      <c r="N233" s="503">
        <f>((DSUM('4.1_Electricidad Illes Balears'!$E$20:$J$42,"emisiones",'6.1_Resultados Illes Balears'!E$71:E233)+DSUM('4.1_Electricidad Illes Balears'!$E$50:$K$70,"emisiones",'6.1_Resultados Illes Balears'!E$71:E233))/1000)-SUM(N$72:N232)</f>
        <v>0</v>
      </c>
      <c r="O233" s="504"/>
      <c r="P233" s="504">
        <f t="shared" si="5"/>
        <v>0</v>
      </c>
      <c r="Q233" s="504"/>
      <c r="R233" s="504"/>
    </row>
    <row r="234" spans="5:18" x14ac:dyDescent="0.3">
      <c r="E234" s="195" t="str">
        <f>IF(Dades!E824="","",Dades!E824)</f>
        <v/>
      </c>
      <c r="F234" s="397">
        <f>(DSUM('1_Combustibles fósiles'!$E$17:$N$39,"emissions",'6.1_Resultados Illes Balears'!E$71:E234)/1000)-SUM(F$72:F233)</f>
        <v>0</v>
      </c>
      <c r="G234" s="397">
        <f>((DSUM('1_Combustibles fósiles'!$E$47:$U$67,"emissions1",'6.1_Resultados Illes Balears'!E$71:E234)+DSUM('1_Combustibles fósiles'!$E$47:$U$67,"emissions2",'6.1_Resultados Illes Balears'!E$71:E234))/1000)-SUM(G$72:G233)</f>
        <v>0</v>
      </c>
      <c r="H234" s="397">
        <f>(DSUM('2_Fluorados'!$E$11:$P$33,"emissions",'6.1_Resultados Illes Balears'!E$71:E234)/1000)-SUM(H$72:H233)</f>
        <v>0</v>
      </c>
      <c r="I234" s="503">
        <f>(DSUM('3_Emisiones proceso'!$E$13:$K$35,"emissions",'6.1_Resultados Illes Balears'!E$71:E234)/1000)-SUM(I$72:I233)</f>
        <v>0</v>
      </c>
      <c r="J234" s="503"/>
      <c r="K234" s="504">
        <f t="shared" si="4"/>
        <v>0</v>
      </c>
      <c r="L234" s="504"/>
      <c r="M234" s="504"/>
      <c r="N234" s="503">
        <f>((DSUM('4.1_Electricidad Illes Balears'!$E$20:$J$42,"emisiones",'6.1_Resultados Illes Balears'!E$71:E234)+DSUM('4.1_Electricidad Illes Balears'!$E$50:$K$70,"emisiones",'6.1_Resultados Illes Balears'!E$71:E234))/1000)-SUM(N$72:N233)</f>
        <v>0</v>
      </c>
      <c r="O234" s="504"/>
      <c r="P234" s="504">
        <f t="shared" si="5"/>
        <v>0</v>
      </c>
      <c r="Q234" s="504"/>
      <c r="R234" s="504"/>
    </row>
    <row r="235" spans="5:18" x14ac:dyDescent="0.3">
      <c r="E235" s="195" t="str">
        <f>IF(Dades!E825="","",Dades!E825)</f>
        <v/>
      </c>
      <c r="F235" s="397">
        <f>(DSUM('1_Combustibles fósiles'!$E$17:$N$39,"emissions",'6.1_Resultados Illes Balears'!E$71:E235)/1000)-SUM(F$72:F234)</f>
        <v>0</v>
      </c>
      <c r="G235" s="397">
        <f>((DSUM('1_Combustibles fósiles'!$E$47:$U$67,"emissions1",'6.1_Resultados Illes Balears'!E$71:E235)+DSUM('1_Combustibles fósiles'!$E$47:$U$67,"emissions2",'6.1_Resultados Illes Balears'!E$71:E235))/1000)-SUM(G$72:G234)</f>
        <v>0</v>
      </c>
      <c r="H235" s="397">
        <f>(DSUM('2_Fluorados'!$E$11:$P$33,"emissions",'6.1_Resultados Illes Balears'!E$71:E235)/1000)-SUM(H$72:H234)</f>
        <v>0</v>
      </c>
      <c r="I235" s="503">
        <f>(DSUM('3_Emisiones proceso'!$E$13:$K$35,"emissions",'6.1_Resultados Illes Balears'!E$71:E235)/1000)-SUM(I$72:I234)</f>
        <v>0</v>
      </c>
      <c r="J235" s="503"/>
      <c r="K235" s="504">
        <f t="shared" si="4"/>
        <v>0</v>
      </c>
      <c r="L235" s="504"/>
      <c r="M235" s="504"/>
      <c r="N235" s="503">
        <f>((DSUM('4.1_Electricidad Illes Balears'!$E$20:$J$42,"emisiones",'6.1_Resultados Illes Balears'!E$71:E235)+DSUM('4.1_Electricidad Illes Balears'!$E$50:$K$70,"emisiones",'6.1_Resultados Illes Balears'!E$71:E235))/1000)-SUM(N$72:N234)</f>
        <v>0</v>
      </c>
      <c r="O235" s="504"/>
      <c r="P235" s="504">
        <f t="shared" si="5"/>
        <v>0</v>
      </c>
      <c r="Q235" s="504"/>
      <c r="R235" s="504"/>
    </row>
    <row r="236" spans="5:18" x14ac:dyDescent="0.3">
      <c r="E236" s="195" t="str">
        <f>IF(Dades!E826="","",Dades!E826)</f>
        <v/>
      </c>
      <c r="F236" s="397">
        <f>(DSUM('1_Combustibles fósiles'!$E$17:$N$39,"emissions",'6.1_Resultados Illes Balears'!E$71:E236)/1000)-SUM(F$72:F235)</f>
        <v>0</v>
      </c>
      <c r="G236" s="397">
        <f>((DSUM('1_Combustibles fósiles'!$E$47:$U$67,"emissions1",'6.1_Resultados Illes Balears'!E$71:E236)+DSUM('1_Combustibles fósiles'!$E$47:$U$67,"emissions2",'6.1_Resultados Illes Balears'!E$71:E236))/1000)-SUM(G$72:G235)</f>
        <v>0</v>
      </c>
      <c r="H236" s="397">
        <f>(DSUM('2_Fluorados'!$E$11:$P$33,"emissions",'6.1_Resultados Illes Balears'!E$71:E236)/1000)-SUM(H$72:H235)</f>
        <v>0</v>
      </c>
      <c r="I236" s="503">
        <f>(DSUM('3_Emisiones proceso'!$E$13:$K$35,"emissions",'6.1_Resultados Illes Balears'!E$71:E236)/1000)-SUM(I$72:I235)</f>
        <v>0</v>
      </c>
      <c r="J236" s="503"/>
      <c r="K236" s="504">
        <f t="shared" si="4"/>
        <v>0</v>
      </c>
      <c r="L236" s="504"/>
      <c r="M236" s="504"/>
      <c r="N236" s="503">
        <f>((DSUM('4.1_Electricidad Illes Balears'!$E$20:$J$42,"emisiones",'6.1_Resultados Illes Balears'!E$71:E236)+DSUM('4.1_Electricidad Illes Balears'!$E$50:$K$70,"emisiones",'6.1_Resultados Illes Balears'!E$71:E236))/1000)-SUM(N$72:N235)</f>
        <v>0</v>
      </c>
      <c r="O236" s="504"/>
      <c r="P236" s="504">
        <f t="shared" si="5"/>
        <v>0</v>
      </c>
      <c r="Q236" s="504"/>
      <c r="R236" s="504"/>
    </row>
    <row r="237" spans="5:18" x14ac:dyDescent="0.3">
      <c r="E237" s="195" t="str">
        <f>IF(Dades!E827="","",Dades!E827)</f>
        <v/>
      </c>
      <c r="F237" s="397">
        <f>(DSUM('1_Combustibles fósiles'!$E$17:$N$39,"emissions",'6.1_Resultados Illes Balears'!E$71:E237)/1000)-SUM(F$72:F236)</f>
        <v>0</v>
      </c>
      <c r="G237" s="397">
        <f>((DSUM('1_Combustibles fósiles'!$E$47:$U$67,"emissions1",'6.1_Resultados Illes Balears'!E$71:E237)+DSUM('1_Combustibles fósiles'!$E$47:$U$67,"emissions2",'6.1_Resultados Illes Balears'!E$71:E237))/1000)-SUM(G$72:G236)</f>
        <v>0</v>
      </c>
      <c r="H237" s="397">
        <f>(DSUM('2_Fluorados'!$E$11:$P$33,"emissions",'6.1_Resultados Illes Balears'!E$71:E237)/1000)-SUM(H$72:H236)</f>
        <v>0</v>
      </c>
      <c r="I237" s="503">
        <f>(DSUM('3_Emisiones proceso'!$E$13:$K$35,"emissions",'6.1_Resultados Illes Balears'!E$71:E237)/1000)-SUM(I$72:I236)</f>
        <v>0</v>
      </c>
      <c r="J237" s="503"/>
      <c r="K237" s="504">
        <f t="shared" si="4"/>
        <v>0</v>
      </c>
      <c r="L237" s="504"/>
      <c r="M237" s="504"/>
      <c r="N237" s="503">
        <f>((DSUM('4.1_Electricidad Illes Balears'!$E$20:$J$42,"emisiones",'6.1_Resultados Illes Balears'!E$71:E237)+DSUM('4.1_Electricidad Illes Balears'!$E$50:$K$70,"emisiones",'6.1_Resultados Illes Balears'!E$71:E237))/1000)-SUM(N$72:N236)</f>
        <v>0</v>
      </c>
      <c r="O237" s="504"/>
      <c r="P237" s="504">
        <f t="shared" si="5"/>
        <v>0</v>
      </c>
      <c r="Q237" s="504"/>
      <c r="R237" s="504"/>
    </row>
    <row r="238" spans="5:18" x14ac:dyDescent="0.3">
      <c r="E238" s="195" t="str">
        <f>IF(Dades!E828="","",Dades!E828)</f>
        <v/>
      </c>
      <c r="F238" s="397">
        <f>(DSUM('1_Combustibles fósiles'!$E$17:$N$39,"emissions",'6.1_Resultados Illes Balears'!E$71:E238)/1000)-SUM(F$72:F237)</f>
        <v>0</v>
      </c>
      <c r="G238" s="397">
        <f>((DSUM('1_Combustibles fósiles'!$E$47:$U$67,"emissions1",'6.1_Resultados Illes Balears'!E$71:E238)+DSUM('1_Combustibles fósiles'!$E$47:$U$67,"emissions2",'6.1_Resultados Illes Balears'!E$71:E238))/1000)-SUM(G$72:G237)</f>
        <v>0</v>
      </c>
      <c r="H238" s="397">
        <f>(DSUM('2_Fluorados'!$E$11:$P$33,"emissions",'6.1_Resultados Illes Balears'!E$71:E238)/1000)-SUM(H$72:H237)</f>
        <v>0</v>
      </c>
      <c r="I238" s="503">
        <f>(DSUM('3_Emisiones proceso'!$E$13:$K$35,"emissions",'6.1_Resultados Illes Balears'!E$71:E238)/1000)-SUM(I$72:I237)</f>
        <v>0</v>
      </c>
      <c r="J238" s="503"/>
      <c r="K238" s="504">
        <f t="shared" si="4"/>
        <v>0</v>
      </c>
      <c r="L238" s="504"/>
      <c r="M238" s="504"/>
      <c r="N238" s="503">
        <f>((DSUM('4.1_Electricidad Illes Balears'!$E$20:$J$42,"emisiones",'6.1_Resultados Illes Balears'!E$71:E238)+DSUM('4.1_Electricidad Illes Balears'!$E$50:$K$70,"emisiones",'6.1_Resultados Illes Balears'!E$71:E238))/1000)-SUM(N$72:N237)</f>
        <v>0</v>
      </c>
      <c r="O238" s="504"/>
      <c r="P238" s="504">
        <f t="shared" si="5"/>
        <v>0</v>
      </c>
      <c r="Q238" s="504"/>
      <c r="R238" s="504"/>
    </row>
    <row r="239" spans="5:18" x14ac:dyDescent="0.3">
      <c r="E239" s="195" t="str">
        <f>IF(Dades!E829="","",Dades!E829)</f>
        <v/>
      </c>
      <c r="F239" s="397">
        <f>(DSUM('1_Combustibles fósiles'!$E$17:$N$39,"emissions",'6.1_Resultados Illes Balears'!E$71:E239)/1000)-SUM(F$72:F238)</f>
        <v>0</v>
      </c>
      <c r="G239" s="397">
        <f>((DSUM('1_Combustibles fósiles'!$E$47:$U$67,"emissions1",'6.1_Resultados Illes Balears'!E$71:E239)+DSUM('1_Combustibles fósiles'!$E$47:$U$67,"emissions2",'6.1_Resultados Illes Balears'!E$71:E239))/1000)-SUM(G$72:G238)</f>
        <v>0</v>
      </c>
      <c r="H239" s="397">
        <f>(DSUM('2_Fluorados'!$E$11:$P$33,"emissions",'6.1_Resultados Illes Balears'!E$71:E239)/1000)-SUM(H$72:H238)</f>
        <v>0</v>
      </c>
      <c r="I239" s="503">
        <f>(DSUM('3_Emisiones proceso'!$E$13:$K$35,"emissions",'6.1_Resultados Illes Balears'!E$71:E239)/1000)-SUM(I$72:I238)</f>
        <v>0</v>
      </c>
      <c r="J239" s="503"/>
      <c r="K239" s="504">
        <f t="shared" si="4"/>
        <v>0</v>
      </c>
      <c r="L239" s="504"/>
      <c r="M239" s="504"/>
      <c r="N239" s="503">
        <f>((DSUM('4.1_Electricidad Illes Balears'!$E$20:$J$42,"emisiones",'6.1_Resultados Illes Balears'!E$71:E239)+DSUM('4.1_Electricidad Illes Balears'!$E$50:$K$70,"emisiones",'6.1_Resultados Illes Balears'!E$71:E239))/1000)-SUM(N$72:N238)</f>
        <v>0</v>
      </c>
      <c r="O239" s="504"/>
      <c r="P239" s="504">
        <f t="shared" si="5"/>
        <v>0</v>
      </c>
      <c r="Q239" s="504"/>
      <c r="R239" s="504"/>
    </row>
    <row r="240" spans="5:18" x14ac:dyDescent="0.3">
      <c r="E240" s="195" t="str">
        <f>IF(Dades!E830="","",Dades!E830)</f>
        <v/>
      </c>
      <c r="F240" s="397">
        <f>(DSUM('1_Combustibles fósiles'!$E$17:$N$39,"emissions",'6.1_Resultados Illes Balears'!E$71:E240)/1000)-SUM(F$72:F239)</f>
        <v>0</v>
      </c>
      <c r="G240" s="397">
        <f>((DSUM('1_Combustibles fósiles'!$E$47:$U$67,"emissions1",'6.1_Resultados Illes Balears'!E$71:E240)+DSUM('1_Combustibles fósiles'!$E$47:$U$67,"emissions2",'6.1_Resultados Illes Balears'!E$71:E240))/1000)-SUM(G$72:G239)</f>
        <v>0</v>
      </c>
      <c r="H240" s="397">
        <f>(DSUM('2_Fluorados'!$E$11:$P$33,"emissions",'6.1_Resultados Illes Balears'!E$71:E240)/1000)-SUM(H$72:H239)</f>
        <v>0</v>
      </c>
      <c r="I240" s="503">
        <f>(DSUM('3_Emisiones proceso'!$E$13:$K$35,"emissions",'6.1_Resultados Illes Balears'!E$71:E240)/1000)-SUM(I$72:I239)</f>
        <v>0</v>
      </c>
      <c r="J240" s="503"/>
      <c r="K240" s="504">
        <f t="shared" si="4"/>
        <v>0</v>
      </c>
      <c r="L240" s="504"/>
      <c r="M240" s="504"/>
      <c r="N240" s="503">
        <f>((DSUM('4.1_Electricidad Illes Balears'!$E$20:$J$42,"emisiones",'6.1_Resultados Illes Balears'!E$71:E240)+DSUM('4.1_Electricidad Illes Balears'!$E$50:$K$70,"emisiones",'6.1_Resultados Illes Balears'!E$71:E240))/1000)-SUM(N$72:N239)</f>
        <v>0</v>
      </c>
      <c r="O240" s="504"/>
      <c r="P240" s="504">
        <f t="shared" si="5"/>
        <v>0</v>
      </c>
      <c r="Q240" s="504"/>
      <c r="R240" s="504"/>
    </row>
    <row r="241" spans="5:18" x14ac:dyDescent="0.3">
      <c r="E241" s="195" t="str">
        <f>IF(Dades!E831="","",Dades!E831)</f>
        <v/>
      </c>
      <c r="F241" s="397">
        <f>(DSUM('1_Combustibles fósiles'!$E$17:$N$39,"emissions",'6.1_Resultados Illes Balears'!E$71:E241)/1000)-SUM(F$72:F240)</f>
        <v>0</v>
      </c>
      <c r="G241" s="397">
        <f>((DSUM('1_Combustibles fósiles'!$E$47:$U$67,"emissions1",'6.1_Resultados Illes Balears'!E$71:E241)+DSUM('1_Combustibles fósiles'!$E$47:$U$67,"emissions2",'6.1_Resultados Illes Balears'!E$71:E241))/1000)-SUM(G$72:G240)</f>
        <v>0</v>
      </c>
      <c r="H241" s="397">
        <f>(DSUM('2_Fluorados'!$E$11:$P$33,"emissions",'6.1_Resultados Illes Balears'!E$71:E241)/1000)-SUM(H$72:H240)</f>
        <v>0</v>
      </c>
      <c r="I241" s="503">
        <f>(DSUM('3_Emisiones proceso'!$E$13:$K$35,"emissions",'6.1_Resultados Illes Balears'!E$71:E241)/1000)-SUM(I$72:I240)</f>
        <v>0</v>
      </c>
      <c r="J241" s="503"/>
      <c r="K241" s="504">
        <f t="shared" si="4"/>
        <v>0</v>
      </c>
      <c r="L241" s="504"/>
      <c r="M241" s="504"/>
      <c r="N241" s="503">
        <f>((DSUM('4.1_Electricidad Illes Balears'!$E$20:$J$42,"emisiones",'6.1_Resultados Illes Balears'!E$71:E241)+DSUM('4.1_Electricidad Illes Balears'!$E$50:$K$70,"emisiones",'6.1_Resultados Illes Balears'!E$71:E241))/1000)-SUM(N$72:N240)</f>
        <v>0</v>
      </c>
      <c r="O241" s="504"/>
      <c r="P241" s="504">
        <f t="shared" si="5"/>
        <v>0</v>
      </c>
      <c r="Q241" s="504"/>
      <c r="R241" s="504"/>
    </row>
    <row r="242" spans="5:18" x14ac:dyDescent="0.3">
      <c r="E242" s="195" t="str">
        <f>IF(Dades!E832="","",Dades!E832)</f>
        <v/>
      </c>
      <c r="F242" s="397">
        <f>(DSUM('1_Combustibles fósiles'!$E$17:$N$39,"emissions",'6.1_Resultados Illes Balears'!E$71:E242)/1000)-SUM(F$72:F241)</f>
        <v>0</v>
      </c>
      <c r="G242" s="397">
        <f>((DSUM('1_Combustibles fósiles'!$E$47:$U$67,"emissions1",'6.1_Resultados Illes Balears'!E$71:E242)+DSUM('1_Combustibles fósiles'!$E$47:$U$67,"emissions2",'6.1_Resultados Illes Balears'!E$71:E242))/1000)-SUM(G$72:G241)</f>
        <v>0</v>
      </c>
      <c r="H242" s="397">
        <f>(DSUM('2_Fluorados'!$E$11:$P$33,"emissions",'6.1_Resultados Illes Balears'!E$71:E242)/1000)-SUM(H$72:H241)</f>
        <v>0</v>
      </c>
      <c r="I242" s="503">
        <f>(DSUM('3_Emisiones proceso'!$E$13:$K$35,"emissions",'6.1_Resultados Illes Balears'!E$71:E242)/1000)-SUM(I$72:I241)</f>
        <v>0</v>
      </c>
      <c r="J242" s="503"/>
      <c r="K242" s="504">
        <f t="shared" si="4"/>
        <v>0</v>
      </c>
      <c r="L242" s="504"/>
      <c r="M242" s="504"/>
      <c r="N242" s="503">
        <f>((DSUM('4.1_Electricidad Illes Balears'!$E$20:$J$42,"emisiones",'6.1_Resultados Illes Balears'!E$71:E242)+DSUM('4.1_Electricidad Illes Balears'!$E$50:$K$70,"emisiones",'6.1_Resultados Illes Balears'!E$71:E242))/1000)-SUM(N$72:N241)</f>
        <v>0</v>
      </c>
      <c r="O242" s="504"/>
      <c r="P242" s="504">
        <f t="shared" si="5"/>
        <v>0</v>
      </c>
      <c r="Q242" s="504"/>
      <c r="R242" s="504"/>
    </row>
    <row r="243" spans="5:18" x14ac:dyDescent="0.3">
      <c r="E243" s="195" t="str">
        <f>IF(Dades!E833="","",Dades!E833)</f>
        <v/>
      </c>
      <c r="F243" s="397">
        <f>(DSUM('1_Combustibles fósiles'!$E$17:$N$39,"emissions",'6.1_Resultados Illes Balears'!E$71:E243)/1000)-SUM(F$72:F242)</f>
        <v>0</v>
      </c>
      <c r="G243" s="397">
        <f>((DSUM('1_Combustibles fósiles'!$E$47:$U$67,"emissions1",'6.1_Resultados Illes Balears'!E$71:E243)+DSUM('1_Combustibles fósiles'!$E$47:$U$67,"emissions2",'6.1_Resultados Illes Balears'!E$71:E243))/1000)-SUM(G$72:G242)</f>
        <v>0</v>
      </c>
      <c r="H243" s="397">
        <f>(DSUM('2_Fluorados'!$E$11:$P$33,"emissions",'6.1_Resultados Illes Balears'!E$71:E243)/1000)-SUM(H$72:H242)</f>
        <v>0</v>
      </c>
      <c r="I243" s="503">
        <f>(DSUM('3_Emisiones proceso'!$E$13:$K$35,"emissions",'6.1_Resultados Illes Balears'!E$71:E243)/1000)-SUM(I$72:I242)</f>
        <v>0</v>
      </c>
      <c r="J243" s="503"/>
      <c r="K243" s="504">
        <f t="shared" si="4"/>
        <v>0</v>
      </c>
      <c r="L243" s="504"/>
      <c r="M243" s="504"/>
      <c r="N243" s="503">
        <f>((DSUM('4.1_Electricidad Illes Balears'!$E$20:$J$42,"emisiones",'6.1_Resultados Illes Balears'!E$71:E243)+DSUM('4.1_Electricidad Illes Balears'!$E$50:$K$70,"emisiones",'6.1_Resultados Illes Balears'!E$71:E243))/1000)-SUM(N$72:N242)</f>
        <v>0</v>
      </c>
      <c r="O243" s="504"/>
      <c r="P243" s="504">
        <f t="shared" si="5"/>
        <v>0</v>
      </c>
      <c r="Q243" s="504"/>
      <c r="R243" s="504"/>
    </row>
    <row r="244" spans="5:18" x14ac:dyDescent="0.3">
      <c r="E244" s="195" t="str">
        <f>IF(Dades!E834="","",Dades!E834)</f>
        <v/>
      </c>
      <c r="F244" s="397">
        <f>(DSUM('1_Combustibles fósiles'!$E$17:$N$39,"emissions",'6.1_Resultados Illes Balears'!E$71:E244)/1000)-SUM(F$72:F243)</f>
        <v>0</v>
      </c>
      <c r="G244" s="397">
        <f>((DSUM('1_Combustibles fósiles'!$E$47:$U$67,"emissions1",'6.1_Resultados Illes Balears'!E$71:E244)+DSUM('1_Combustibles fósiles'!$E$47:$U$67,"emissions2",'6.1_Resultados Illes Balears'!E$71:E244))/1000)-SUM(G$72:G243)</f>
        <v>0</v>
      </c>
      <c r="H244" s="397">
        <f>(DSUM('2_Fluorados'!$E$11:$P$33,"emissions",'6.1_Resultados Illes Balears'!E$71:E244)/1000)-SUM(H$72:H243)</f>
        <v>0</v>
      </c>
      <c r="I244" s="503">
        <f>(DSUM('3_Emisiones proceso'!$E$13:$K$35,"emissions",'6.1_Resultados Illes Balears'!E$71:E244)/1000)-SUM(I$72:I243)</f>
        <v>0</v>
      </c>
      <c r="J244" s="503"/>
      <c r="K244" s="504">
        <f t="shared" si="4"/>
        <v>0</v>
      </c>
      <c r="L244" s="504"/>
      <c r="M244" s="504"/>
      <c r="N244" s="503">
        <f>((DSUM('4.1_Electricidad Illes Balears'!$E$20:$J$42,"emisiones",'6.1_Resultados Illes Balears'!E$71:E244)+DSUM('4.1_Electricidad Illes Balears'!$E$50:$K$70,"emisiones",'6.1_Resultados Illes Balears'!E$71:E244))/1000)-SUM(N$72:N243)</f>
        <v>0</v>
      </c>
      <c r="O244" s="504"/>
      <c r="P244" s="504">
        <f t="shared" si="5"/>
        <v>0</v>
      </c>
      <c r="Q244" s="504"/>
      <c r="R244" s="504"/>
    </row>
    <row r="245" spans="5:18" x14ac:dyDescent="0.3">
      <c r="E245" s="195" t="str">
        <f>IF(Dades!E835="","",Dades!E835)</f>
        <v/>
      </c>
      <c r="F245" s="397">
        <f>(DSUM('1_Combustibles fósiles'!$E$17:$N$39,"emissions",'6.1_Resultados Illes Balears'!E$71:E245)/1000)-SUM(F$72:F244)</f>
        <v>0</v>
      </c>
      <c r="G245" s="397">
        <f>((DSUM('1_Combustibles fósiles'!$E$47:$U$67,"emissions1",'6.1_Resultados Illes Balears'!E$71:E245)+DSUM('1_Combustibles fósiles'!$E$47:$U$67,"emissions2",'6.1_Resultados Illes Balears'!E$71:E245))/1000)-SUM(G$72:G244)</f>
        <v>0</v>
      </c>
      <c r="H245" s="397">
        <f>(DSUM('2_Fluorados'!$E$11:$P$33,"emissions",'6.1_Resultados Illes Balears'!E$71:E245)/1000)-SUM(H$72:H244)</f>
        <v>0</v>
      </c>
      <c r="I245" s="503">
        <f>(DSUM('3_Emisiones proceso'!$E$13:$K$35,"emissions",'6.1_Resultados Illes Balears'!E$71:E245)/1000)-SUM(I$72:I244)</f>
        <v>0</v>
      </c>
      <c r="J245" s="503"/>
      <c r="K245" s="504">
        <f t="shared" si="4"/>
        <v>0</v>
      </c>
      <c r="L245" s="504"/>
      <c r="M245" s="504"/>
      <c r="N245" s="503">
        <f>((DSUM('4.1_Electricidad Illes Balears'!$E$20:$J$42,"emisiones",'6.1_Resultados Illes Balears'!E$71:E245)+DSUM('4.1_Electricidad Illes Balears'!$E$50:$K$70,"emisiones",'6.1_Resultados Illes Balears'!E$71:E245))/1000)-SUM(N$72:N244)</f>
        <v>0</v>
      </c>
      <c r="O245" s="504"/>
      <c r="P245" s="504">
        <f t="shared" si="5"/>
        <v>0</v>
      </c>
      <c r="Q245" s="504"/>
      <c r="R245" s="504"/>
    </row>
    <row r="246" spans="5:18" x14ac:dyDescent="0.3">
      <c r="E246" s="195" t="str">
        <f>IF(Dades!E836="","",Dades!E836)</f>
        <v/>
      </c>
      <c r="F246" s="397">
        <f>(DSUM('1_Combustibles fósiles'!$E$17:$N$39,"emissions",'6.1_Resultados Illes Balears'!E$71:E246)/1000)-SUM(F$72:F245)</f>
        <v>0</v>
      </c>
      <c r="G246" s="397">
        <f>((DSUM('1_Combustibles fósiles'!$E$47:$U$67,"emissions1",'6.1_Resultados Illes Balears'!E$71:E246)+DSUM('1_Combustibles fósiles'!$E$47:$U$67,"emissions2",'6.1_Resultados Illes Balears'!E$71:E246))/1000)-SUM(G$72:G245)</f>
        <v>0</v>
      </c>
      <c r="H246" s="397">
        <f>(DSUM('2_Fluorados'!$E$11:$P$33,"emissions",'6.1_Resultados Illes Balears'!E$71:E246)/1000)-SUM(H$72:H245)</f>
        <v>0</v>
      </c>
      <c r="I246" s="503">
        <f>(DSUM('3_Emisiones proceso'!$E$13:$K$35,"emissions",'6.1_Resultados Illes Balears'!E$71:E246)/1000)-SUM(I$72:I245)</f>
        <v>0</v>
      </c>
      <c r="J246" s="503"/>
      <c r="K246" s="504">
        <f t="shared" si="4"/>
        <v>0</v>
      </c>
      <c r="L246" s="504"/>
      <c r="M246" s="504"/>
      <c r="N246" s="503">
        <f>((DSUM('4.1_Electricidad Illes Balears'!$E$20:$J$42,"emisiones",'6.1_Resultados Illes Balears'!E$71:E246)+DSUM('4.1_Electricidad Illes Balears'!$E$50:$K$70,"emisiones",'6.1_Resultados Illes Balears'!E$71:E246))/1000)-SUM(N$72:N245)</f>
        <v>0</v>
      </c>
      <c r="O246" s="504"/>
      <c r="P246" s="504">
        <f t="shared" si="5"/>
        <v>0</v>
      </c>
      <c r="Q246" s="504"/>
      <c r="R246" s="504"/>
    </row>
    <row r="247" spans="5:18" x14ac:dyDescent="0.3">
      <c r="E247" s="195" t="str">
        <f>IF(Dades!E837="","",Dades!E837)</f>
        <v/>
      </c>
      <c r="F247" s="397">
        <f>(DSUM('1_Combustibles fósiles'!$E$17:$N$39,"emissions",'6.1_Resultados Illes Balears'!E$71:E247)/1000)-SUM(F$72:F246)</f>
        <v>0</v>
      </c>
      <c r="G247" s="397">
        <f>((DSUM('1_Combustibles fósiles'!$E$47:$U$67,"emissions1",'6.1_Resultados Illes Balears'!E$71:E247)+DSUM('1_Combustibles fósiles'!$E$47:$U$67,"emissions2",'6.1_Resultados Illes Balears'!E$71:E247))/1000)-SUM(G$72:G246)</f>
        <v>0</v>
      </c>
      <c r="H247" s="397">
        <f>(DSUM('2_Fluorados'!$E$11:$P$33,"emissions",'6.1_Resultados Illes Balears'!E$71:E247)/1000)-SUM(H$72:H246)</f>
        <v>0</v>
      </c>
      <c r="I247" s="503">
        <f>(DSUM('3_Emisiones proceso'!$E$13:$K$35,"emissions",'6.1_Resultados Illes Balears'!E$71:E247)/1000)-SUM(I$72:I246)</f>
        <v>0</v>
      </c>
      <c r="J247" s="503"/>
      <c r="K247" s="504">
        <f t="shared" si="4"/>
        <v>0</v>
      </c>
      <c r="L247" s="504"/>
      <c r="M247" s="504"/>
      <c r="N247" s="503">
        <f>((DSUM('4.1_Electricidad Illes Balears'!$E$20:$J$42,"emisiones",'6.1_Resultados Illes Balears'!E$71:E247)+DSUM('4.1_Electricidad Illes Balears'!$E$50:$K$70,"emisiones",'6.1_Resultados Illes Balears'!E$71:E247))/1000)-SUM(N$72:N246)</f>
        <v>0</v>
      </c>
      <c r="O247" s="504"/>
      <c r="P247" s="504">
        <f t="shared" si="5"/>
        <v>0</v>
      </c>
      <c r="Q247" s="504"/>
      <c r="R247" s="504"/>
    </row>
    <row r="248" spans="5:18" x14ac:dyDescent="0.3">
      <c r="E248" s="195" t="str">
        <f>IF(Dades!E838="","",Dades!E838)</f>
        <v/>
      </c>
      <c r="F248" s="397">
        <f>(DSUM('1_Combustibles fósiles'!$E$17:$N$39,"emissions",'6.1_Resultados Illes Balears'!E$71:E248)/1000)-SUM(F$72:F247)</f>
        <v>0</v>
      </c>
      <c r="G248" s="397">
        <f>((DSUM('1_Combustibles fósiles'!$E$47:$U$67,"emissions1",'6.1_Resultados Illes Balears'!E$71:E248)+DSUM('1_Combustibles fósiles'!$E$47:$U$67,"emissions2",'6.1_Resultados Illes Balears'!E$71:E248))/1000)-SUM(G$72:G247)</f>
        <v>0</v>
      </c>
      <c r="H248" s="397">
        <f>(DSUM('2_Fluorados'!$E$11:$P$33,"emissions",'6.1_Resultados Illes Balears'!E$71:E248)/1000)-SUM(H$72:H247)</f>
        <v>0</v>
      </c>
      <c r="I248" s="503">
        <f>(DSUM('3_Emisiones proceso'!$E$13:$K$35,"emissions",'6.1_Resultados Illes Balears'!E$71:E248)/1000)-SUM(I$72:I247)</f>
        <v>0</v>
      </c>
      <c r="J248" s="503"/>
      <c r="K248" s="504">
        <f t="shared" si="4"/>
        <v>0</v>
      </c>
      <c r="L248" s="504"/>
      <c r="M248" s="504"/>
      <c r="N248" s="503">
        <f>((DSUM('4.1_Electricidad Illes Balears'!$E$20:$J$42,"emisiones",'6.1_Resultados Illes Balears'!E$71:E248)+DSUM('4.1_Electricidad Illes Balears'!$E$50:$K$70,"emisiones",'6.1_Resultados Illes Balears'!E$71:E248))/1000)-SUM(N$72:N247)</f>
        <v>0</v>
      </c>
      <c r="O248" s="504"/>
      <c r="P248" s="504">
        <f t="shared" si="5"/>
        <v>0</v>
      </c>
      <c r="Q248" s="504"/>
      <c r="R248" s="504"/>
    </row>
    <row r="249" spans="5:18" x14ac:dyDescent="0.3">
      <c r="E249" s="195" t="str">
        <f>IF(Dades!E839="","",Dades!E839)</f>
        <v/>
      </c>
      <c r="F249" s="397">
        <f>(DSUM('1_Combustibles fósiles'!$E$17:$N$39,"emissions",'6.1_Resultados Illes Balears'!E$71:E249)/1000)-SUM(F$72:F248)</f>
        <v>0</v>
      </c>
      <c r="G249" s="397">
        <f>((DSUM('1_Combustibles fósiles'!$E$47:$U$67,"emissions1",'6.1_Resultados Illes Balears'!E$71:E249)+DSUM('1_Combustibles fósiles'!$E$47:$U$67,"emissions2",'6.1_Resultados Illes Balears'!E$71:E249))/1000)-SUM(G$72:G248)</f>
        <v>0</v>
      </c>
      <c r="H249" s="397">
        <f>(DSUM('2_Fluorados'!$E$11:$P$33,"emissions",'6.1_Resultados Illes Balears'!E$71:E249)/1000)-SUM(H$72:H248)</f>
        <v>0</v>
      </c>
      <c r="I249" s="503">
        <f>(DSUM('3_Emisiones proceso'!$E$13:$K$35,"emissions",'6.1_Resultados Illes Balears'!E$71:E249)/1000)-SUM(I$72:I248)</f>
        <v>0</v>
      </c>
      <c r="J249" s="503"/>
      <c r="K249" s="504">
        <f t="shared" si="4"/>
        <v>0</v>
      </c>
      <c r="L249" s="504"/>
      <c r="M249" s="504"/>
      <c r="N249" s="503">
        <f>((DSUM('4.1_Electricidad Illes Balears'!$E$20:$J$42,"emisiones",'6.1_Resultados Illes Balears'!E$71:E249)+DSUM('4.1_Electricidad Illes Balears'!$E$50:$K$70,"emisiones",'6.1_Resultados Illes Balears'!E$71:E249))/1000)-SUM(N$72:N248)</f>
        <v>0</v>
      </c>
      <c r="O249" s="504"/>
      <c r="P249" s="504">
        <f t="shared" si="5"/>
        <v>0</v>
      </c>
      <c r="Q249" s="504"/>
      <c r="R249" s="504"/>
    </row>
    <row r="250" spans="5:18" x14ac:dyDescent="0.3">
      <c r="E250" s="195" t="str">
        <f>IF(Dades!E840="","",Dades!E840)</f>
        <v/>
      </c>
      <c r="F250" s="397">
        <f>(DSUM('1_Combustibles fósiles'!$E$17:$N$39,"emissions",'6.1_Resultados Illes Balears'!E$71:E250)/1000)-SUM(F$72:F249)</f>
        <v>0</v>
      </c>
      <c r="G250" s="397">
        <f>((DSUM('1_Combustibles fósiles'!$E$47:$U$67,"emissions1",'6.1_Resultados Illes Balears'!E$71:E250)+DSUM('1_Combustibles fósiles'!$E$47:$U$67,"emissions2",'6.1_Resultados Illes Balears'!E$71:E250))/1000)-SUM(G$72:G249)</f>
        <v>0</v>
      </c>
      <c r="H250" s="397">
        <f>(DSUM('2_Fluorados'!$E$11:$P$33,"emissions",'6.1_Resultados Illes Balears'!E$71:E250)/1000)-SUM(H$72:H249)</f>
        <v>0</v>
      </c>
      <c r="I250" s="503">
        <f>(DSUM('3_Emisiones proceso'!$E$13:$K$35,"emissions",'6.1_Resultados Illes Balears'!E$71:E250)/1000)-SUM(I$72:I249)</f>
        <v>0</v>
      </c>
      <c r="J250" s="503"/>
      <c r="K250" s="504">
        <f t="shared" si="4"/>
        <v>0</v>
      </c>
      <c r="L250" s="504"/>
      <c r="M250" s="504"/>
      <c r="N250" s="503">
        <f>((DSUM('4.1_Electricidad Illes Balears'!$E$20:$J$42,"emisiones",'6.1_Resultados Illes Balears'!E$71:E250)+DSUM('4.1_Electricidad Illes Balears'!$E$50:$K$70,"emisiones",'6.1_Resultados Illes Balears'!E$71:E250))/1000)-SUM(N$72:N249)</f>
        <v>0</v>
      </c>
      <c r="O250" s="504"/>
      <c r="P250" s="504">
        <f t="shared" si="5"/>
        <v>0</v>
      </c>
      <c r="Q250" s="504"/>
      <c r="R250" s="504"/>
    </row>
    <row r="251" spans="5:18" x14ac:dyDescent="0.3">
      <c r="E251" s="195" t="str">
        <f>IF(Dades!E841="","",Dades!E841)</f>
        <v/>
      </c>
      <c r="F251" s="397">
        <f>(DSUM('1_Combustibles fósiles'!$E$17:$N$39,"emissions",'6.1_Resultados Illes Balears'!E$71:E251)/1000)-SUM(F$72:F250)</f>
        <v>0</v>
      </c>
      <c r="G251" s="397">
        <f>((DSUM('1_Combustibles fósiles'!$E$47:$U$67,"emissions1",'6.1_Resultados Illes Balears'!E$71:E251)+DSUM('1_Combustibles fósiles'!$E$47:$U$67,"emissions2",'6.1_Resultados Illes Balears'!E$71:E251))/1000)-SUM(G$72:G250)</f>
        <v>0</v>
      </c>
      <c r="H251" s="397">
        <f>(DSUM('2_Fluorados'!$E$11:$P$33,"emissions",'6.1_Resultados Illes Balears'!E$71:E251)/1000)-SUM(H$72:H250)</f>
        <v>0</v>
      </c>
      <c r="I251" s="503">
        <f>(DSUM('3_Emisiones proceso'!$E$13:$K$35,"emissions",'6.1_Resultados Illes Balears'!E$71:E251)/1000)-SUM(I$72:I250)</f>
        <v>0</v>
      </c>
      <c r="J251" s="503"/>
      <c r="K251" s="504">
        <f t="shared" si="4"/>
        <v>0</v>
      </c>
      <c r="L251" s="504"/>
      <c r="M251" s="504"/>
      <c r="N251" s="503">
        <f>((DSUM('4.1_Electricidad Illes Balears'!$E$20:$J$42,"emisiones",'6.1_Resultados Illes Balears'!E$71:E251)+DSUM('4.1_Electricidad Illes Balears'!$E$50:$K$70,"emisiones",'6.1_Resultados Illes Balears'!E$71:E251))/1000)-SUM(N$72:N250)</f>
        <v>0</v>
      </c>
      <c r="O251" s="504"/>
      <c r="P251" s="504">
        <f t="shared" si="5"/>
        <v>0</v>
      </c>
      <c r="Q251" s="504"/>
      <c r="R251" s="504"/>
    </row>
    <row r="252" spans="5:18" x14ac:dyDescent="0.3">
      <c r="E252" s="195" t="str">
        <f>IF(Dades!E842="","",Dades!E842)</f>
        <v/>
      </c>
      <c r="F252" s="397">
        <f>(DSUM('1_Combustibles fósiles'!$E$17:$N$39,"emissions",'6.1_Resultados Illes Balears'!E$71:E252)/1000)-SUM(F$72:F251)</f>
        <v>0</v>
      </c>
      <c r="G252" s="397">
        <f>((DSUM('1_Combustibles fósiles'!$E$47:$U$67,"emissions1",'6.1_Resultados Illes Balears'!E$71:E252)+DSUM('1_Combustibles fósiles'!$E$47:$U$67,"emissions2",'6.1_Resultados Illes Balears'!E$71:E252))/1000)-SUM(G$72:G251)</f>
        <v>0</v>
      </c>
      <c r="H252" s="397">
        <f>(DSUM('2_Fluorados'!$E$11:$P$33,"emissions",'6.1_Resultados Illes Balears'!E$71:E252)/1000)-SUM(H$72:H251)</f>
        <v>0</v>
      </c>
      <c r="I252" s="503">
        <f>(DSUM('3_Emisiones proceso'!$E$13:$K$35,"emissions",'6.1_Resultados Illes Balears'!E$71:E252)/1000)-SUM(I$72:I251)</f>
        <v>0</v>
      </c>
      <c r="J252" s="503"/>
      <c r="K252" s="504">
        <f t="shared" si="4"/>
        <v>0</v>
      </c>
      <c r="L252" s="504"/>
      <c r="M252" s="504"/>
      <c r="N252" s="503">
        <f>((DSUM('4.1_Electricidad Illes Balears'!$E$20:$J$42,"emisiones",'6.1_Resultados Illes Balears'!E$71:E252)+DSUM('4.1_Electricidad Illes Balears'!$E$50:$K$70,"emisiones",'6.1_Resultados Illes Balears'!E$71:E252))/1000)-SUM(N$72:N251)</f>
        <v>0</v>
      </c>
      <c r="O252" s="504"/>
      <c r="P252" s="504">
        <f t="shared" si="5"/>
        <v>0</v>
      </c>
      <c r="Q252" s="504"/>
      <c r="R252" s="504"/>
    </row>
    <row r="253" spans="5:18" x14ac:dyDescent="0.3">
      <c r="E253" s="195" t="str">
        <f>IF(Dades!E843="","",Dades!E843)</f>
        <v/>
      </c>
      <c r="F253" s="397">
        <f>(DSUM('1_Combustibles fósiles'!$E$17:$N$39,"emissions",'6.1_Resultados Illes Balears'!E$71:E253)/1000)-SUM(F$72:F252)</f>
        <v>0</v>
      </c>
      <c r="G253" s="397">
        <f>((DSUM('1_Combustibles fósiles'!$E$47:$U$67,"emissions1",'6.1_Resultados Illes Balears'!E$71:E253)+DSUM('1_Combustibles fósiles'!$E$47:$U$67,"emissions2",'6.1_Resultados Illes Balears'!E$71:E253))/1000)-SUM(G$72:G252)</f>
        <v>0</v>
      </c>
      <c r="H253" s="397">
        <f>(DSUM('2_Fluorados'!$E$11:$P$33,"emissions",'6.1_Resultados Illes Balears'!E$71:E253)/1000)-SUM(H$72:H252)</f>
        <v>0</v>
      </c>
      <c r="I253" s="503">
        <f>(DSUM('3_Emisiones proceso'!$E$13:$K$35,"emissions",'6.1_Resultados Illes Balears'!E$71:E253)/1000)-SUM(I$72:I252)</f>
        <v>0</v>
      </c>
      <c r="J253" s="503"/>
      <c r="K253" s="504">
        <f t="shared" si="4"/>
        <v>0</v>
      </c>
      <c r="L253" s="504"/>
      <c r="M253" s="504"/>
      <c r="N253" s="503">
        <f>((DSUM('4.1_Electricidad Illes Balears'!$E$20:$J$42,"emisiones",'6.1_Resultados Illes Balears'!E$71:E253)+DSUM('4.1_Electricidad Illes Balears'!$E$50:$K$70,"emisiones",'6.1_Resultados Illes Balears'!E$71:E253))/1000)-SUM(N$72:N252)</f>
        <v>0</v>
      </c>
      <c r="O253" s="504"/>
      <c r="P253" s="504">
        <f t="shared" si="5"/>
        <v>0</v>
      </c>
      <c r="Q253" s="504"/>
      <c r="R253" s="504"/>
    </row>
    <row r="254" spans="5:18" x14ac:dyDescent="0.3">
      <c r="E254" s="195" t="str">
        <f>IF(Dades!E844="","",Dades!E844)</f>
        <v/>
      </c>
      <c r="F254" s="397">
        <f>(DSUM('1_Combustibles fósiles'!$E$17:$N$39,"emissions",'6.1_Resultados Illes Balears'!E$71:E254)/1000)-SUM(F$72:F253)</f>
        <v>0</v>
      </c>
      <c r="G254" s="397">
        <f>((DSUM('1_Combustibles fósiles'!$E$47:$U$67,"emissions1",'6.1_Resultados Illes Balears'!E$71:E254)+DSUM('1_Combustibles fósiles'!$E$47:$U$67,"emissions2",'6.1_Resultados Illes Balears'!E$71:E254))/1000)-SUM(G$72:G253)</f>
        <v>0</v>
      </c>
      <c r="H254" s="397">
        <f>(DSUM('2_Fluorados'!$E$11:$P$33,"emissions",'6.1_Resultados Illes Balears'!E$71:E254)/1000)-SUM(H$72:H253)</f>
        <v>0</v>
      </c>
      <c r="I254" s="503">
        <f>(DSUM('3_Emisiones proceso'!$E$13:$K$35,"emissions",'6.1_Resultados Illes Balears'!E$71:E254)/1000)-SUM(I$72:I253)</f>
        <v>0</v>
      </c>
      <c r="J254" s="503"/>
      <c r="K254" s="504">
        <f t="shared" si="4"/>
        <v>0</v>
      </c>
      <c r="L254" s="504"/>
      <c r="M254" s="504"/>
      <c r="N254" s="503">
        <f>((DSUM('4.1_Electricidad Illes Balears'!$E$20:$J$42,"emisiones",'6.1_Resultados Illes Balears'!E$71:E254)+DSUM('4.1_Electricidad Illes Balears'!$E$50:$K$70,"emisiones",'6.1_Resultados Illes Balears'!E$71:E254))/1000)-SUM(N$72:N253)</f>
        <v>0</v>
      </c>
      <c r="O254" s="504"/>
      <c r="P254" s="504">
        <f t="shared" si="5"/>
        <v>0</v>
      </c>
      <c r="Q254" s="504"/>
      <c r="R254" s="504"/>
    </row>
    <row r="255" spans="5:18" x14ac:dyDescent="0.3">
      <c r="E255" s="195" t="str">
        <f>IF(Dades!E845="","",Dades!E845)</f>
        <v/>
      </c>
      <c r="F255" s="397">
        <f>(DSUM('1_Combustibles fósiles'!$E$17:$N$39,"emissions",'6.1_Resultados Illes Balears'!E$71:E255)/1000)-SUM(F$72:F254)</f>
        <v>0</v>
      </c>
      <c r="G255" s="397">
        <f>((DSUM('1_Combustibles fósiles'!$E$47:$U$67,"emissions1",'6.1_Resultados Illes Balears'!E$71:E255)+DSUM('1_Combustibles fósiles'!$E$47:$U$67,"emissions2",'6.1_Resultados Illes Balears'!E$71:E255))/1000)-SUM(G$72:G254)</f>
        <v>0</v>
      </c>
      <c r="H255" s="397">
        <f>(DSUM('2_Fluorados'!$E$11:$P$33,"emissions",'6.1_Resultados Illes Balears'!E$71:E255)/1000)-SUM(H$72:H254)</f>
        <v>0</v>
      </c>
      <c r="I255" s="503">
        <f>(DSUM('3_Emisiones proceso'!$E$13:$K$35,"emissions",'6.1_Resultados Illes Balears'!E$71:E255)/1000)-SUM(I$72:I254)</f>
        <v>0</v>
      </c>
      <c r="J255" s="503"/>
      <c r="K255" s="504">
        <f t="shared" si="4"/>
        <v>0</v>
      </c>
      <c r="L255" s="504"/>
      <c r="M255" s="504"/>
      <c r="N255" s="503">
        <f>((DSUM('4.1_Electricidad Illes Balears'!$E$20:$J$42,"emisiones",'6.1_Resultados Illes Balears'!E$71:E255)+DSUM('4.1_Electricidad Illes Balears'!$E$50:$K$70,"emisiones",'6.1_Resultados Illes Balears'!E$71:E255))/1000)-SUM(N$72:N254)</f>
        <v>0</v>
      </c>
      <c r="O255" s="504"/>
      <c r="P255" s="504">
        <f t="shared" si="5"/>
        <v>0</v>
      </c>
      <c r="Q255" s="504"/>
      <c r="R255" s="504"/>
    </row>
    <row r="256" spans="5:18" x14ac:dyDescent="0.3">
      <c r="E256" s="195" t="str">
        <f>IF(Dades!E846="","",Dades!E846)</f>
        <v/>
      </c>
      <c r="F256" s="397">
        <f>(DSUM('1_Combustibles fósiles'!$E$17:$N$39,"emissions",'6.1_Resultados Illes Balears'!E$71:E256)/1000)-SUM(F$72:F255)</f>
        <v>0</v>
      </c>
      <c r="G256" s="397">
        <f>((DSUM('1_Combustibles fósiles'!$E$47:$U$67,"emissions1",'6.1_Resultados Illes Balears'!E$71:E256)+DSUM('1_Combustibles fósiles'!$E$47:$U$67,"emissions2",'6.1_Resultados Illes Balears'!E$71:E256))/1000)-SUM(G$72:G255)</f>
        <v>0</v>
      </c>
      <c r="H256" s="397">
        <f>(DSUM('2_Fluorados'!$E$11:$P$33,"emissions",'6.1_Resultados Illes Balears'!E$71:E256)/1000)-SUM(H$72:H255)</f>
        <v>0</v>
      </c>
      <c r="I256" s="503">
        <f>(DSUM('3_Emisiones proceso'!$E$13:$K$35,"emissions",'6.1_Resultados Illes Balears'!E$71:E256)/1000)-SUM(I$72:I255)</f>
        <v>0</v>
      </c>
      <c r="J256" s="503"/>
      <c r="K256" s="504">
        <f t="shared" si="4"/>
        <v>0</v>
      </c>
      <c r="L256" s="504"/>
      <c r="M256" s="504"/>
      <c r="N256" s="503">
        <f>((DSUM('4.1_Electricidad Illes Balears'!$E$20:$J$42,"emisiones",'6.1_Resultados Illes Balears'!E$71:E256)+DSUM('4.1_Electricidad Illes Balears'!$E$50:$K$70,"emisiones",'6.1_Resultados Illes Balears'!E$71:E256))/1000)-SUM(N$72:N255)</f>
        <v>0</v>
      </c>
      <c r="O256" s="504"/>
      <c r="P256" s="504">
        <f t="shared" si="5"/>
        <v>0</v>
      </c>
      <c r="Q256" s="504"/>
      <c r="R256" s="504"/>
    </row>
    <row r="257" spans="5:18" x14ac:dyDescent="0.3">
      <c r="E257" s="195" t="str">
        <f>IF(Dades!E847="","",Dades!E847)</f>
        <v/>
      </c>
      <c r="F257" s="397">
        <f>(DSUM('1_Combustibles fósiles'!$E$17:$N$39,"emissions",'6.1_Resultados Illes Balears'!E$71:E257)/1000)-SUM(F$72:F256)</f>
        <v>0</v>
      </c>
      <c r="G257" s="397">
        <f>((DSUM('1_Combustibles fósiles'!$E$47:$U$67,"emissions1",'6.1_Resultados Illes Balears'!E$71:E257)+DSUM('1_Combustibles fósiles'!$E$47:$U$67,"emissions2",'6.1_Resultados Illes Balears'!E$71:E257))/1000)-SUM(G$72:G256)</f>
        <v>0</v>
      </c>
      <c r="H257" s="397">
        <f>(DSUM('2_Fluorados'!$E$11:$P$33,"emissions",'6.1_Resultados Illes Balears'!E$71:E257)/1000)-SUM(H$72:H256)</f>
        <v>0</v>
      </c>
      <c r="I257" s="503">
        <f>(DSUM('3_Emisiones proceso'!$E$13:$K$35,"emissions",'6.1_Resultados Illes Balears'!E$71:E257)/1000)-SUM(I$72:I256)</f>
        <v>0</v>
      </c>
      <c r="J257" s="503"/>
      <c r="K257" s="504">
        <f t="shared" si="4"/>
        <v>0</v>
      </c>
      <c r="L257" s="504"/>
      <c r="M257" s="504"/>
      <c r="N257" s="503">
        <f>((DSUM('4.1_Electricidad Illes Balears'!$E$20:$J$42,"emisiones",'6.1_Resultados Illes Balears'!E$71:E257)+DSUM('4.1_Electricidad Illes Balears'!$E$50:$K$70,"emisiones",'6.1_Resultados Illes Balears'!E$71:E257))/1000)-SUM(N$72:N256)</f>
        <v>0</v>
      </c>
      <c r="O257" s="504"/>
      <c r="P257" s="504">
        <f t="shared" si="5"/>
        <v>0</v>
      </c>
      <c r="Q257" s="504"/>
      <c r="R257" s="504"/>
    </row>
    <row r="258" spans="5:18" x14ac:dyDescent="0.3">
      <c r="E258" s="195" t="str">
        <f>IF(Dades!E848="","",Dades!E848)</f>
        <v/>
      </c>
      <c r="F258" s="397">
        <f>(DSUM('1_Combustibles fósiles'!$E$17:$N$39,"emissions",'6.1_Resultados Illes Balears'!E$71:E258)/1000)-SUM(F$72:F257)</f>
        <v>0</v>
      </c>
      <c r="G258" s="397">
        <f>((DSUM('1_Combustibles fósiles'!$E$47:$U$67,"emissions1",'6.1_Resultados Illes Balears'!E$71:E258)+DSUM('1_Combustibles fósiles'!$E$47:$U$67,"emissions2",'6.1_Resultados Illes Balears'!E$71:E258))/1000)-SUM(G$72:G257)</f>
        <v>0</v>
      </c>
      <c r="H258" s="397">
        <f>(DSUM('2_Fluorados'!$E$11:$P$33,"emissions",'6.1_Resultados Illes Balears'!E$71:E258)/1000)-SUM(H$72:H257)</f>
        <v>0</v>
      </c>
      <c r="I258" s="503">
        <f>(DSUM('3_Emisiones proceso'!$E$13:$K$35,"emissions",'6.1_Resultados Illes Balears'!E$71:E258)/1000)-SUM(I$72:I257)</f>
        <v>0</v>
      </c>
      <c r="J258" s="503"/>
      <c r="K258" s="504">
        <f t="shared" si="4"/>
        <v>0</v>
      </c>
      <c r="L258" s="504"/>
      <c r="M258" s="504"/>
      <c r="N258" s="503">
        <f>((DSUM('4.1_Electricidad Illes Balears'!$E$20:$J$42,"emisiones",'6.1_Resultados Illes Balears'!E$71:E258)+DSUM('4.1_Electricidad Illes Balears'!$E$50:$K$70,"emisiones",'6.1_Resultados Illes Balears'!E$71:E258))/1000)-SUM(N$72:N257)</f>
        <v>0</v>
      </c>
      <c r="O258" s="504"/>
      <c r="P258" s="504">
        <f t="shared" si="5"/>
        <v>0</v>
      </c>
      <c r="Q258" s="504"/>
      <c r="R258" s="504"/>
    </row>
    <row r="259" spans="5:18" x14ac:dyDescent="0.3">
      <c r="E259" s="195" t="str">
        <f>IF(Dades!E849="","",Dades!E849)</f>
        <v/>
      </c>
      <c r="F259" s="397">
        <f>(DSUM('1_Combustibles fósiles'!$E$17:$N$39,"emissions",'6.1_Resultados Illes Balears'!E$71:E259)/1000)-SUM(F$72:F258)</f>
        <v>0</v>
      </c>
      <c r="G259" s="397">
        <f>((DSUM('1_Combustibles fósiles'!$E$47:$U$67,"emissions1",'6.1_Resultados Illes Balears'!E$71:E259)+DSUM('1_Combustibles fósiles'!$E$47:$U$67,"emissions2",'6.1_Resultados Illes Balears'!E$71:E259))/1000)-SUM(G$72:G258)</f>
        <v>0</v>
      </c>
      <c r="H259" s="397">
        <f>(DSUM('2_Fluorados'!$E$11:$P$33,"emissions",'6.1_Resultados Illes Balears'!E$71:E259)/1000)-SUM(H$72:H258)</f>
        <v>0</v>
      </c>
      <c r="I259" s="503">
        <f>(DSUM('3_Emisiones proceso'!$E$13:$K$35,"emissions",'6.1_Resultados Illes Balears'!E$71:E259)/1000)-SUM(I$72:I258)</f>
        <v>0</v>
      </c>
      <c r="J259" s="503"/>
      <c r="K259" s="504">
        <f t="shared" si="4"/>
        <v>0</v>
      </c>
      <c r="L259" s="504"/>
      <c r="M259" s="504"/>
      <c r="N259" s="503">
        <f>((DSUM('4.1_Electricidad Illes Balears'!$E$20:$J$42,"emisiones",'6.1_Resultados Illes Balears'!E$71:E259)+DSUM('4.1_Electricidad Illes Balears'!$E$50:$K$70,"emisiones",'6.1_Resultados Illes Balears'!E$71:E259))/1000)-SUM(N$72:N258)</f>
        <v>0</v>
      </c>
      <c r="O259" s="504"/>
      <c r="P259" s="504">
        <f t="shared" si="5"/>
        <v>0</v>
      </c>
      <c r="Q259" s="504"/>
      <c r="R259" s="504"/>
    </row>
    <row r="260" spans="5:18" x14ac:dyDescent="0.3">
      <c r="E260" s="195" t="str">
        <f>IF(Dades!E850="","",Dades!E850)</f>
        <v/>
      </c>
      <c r="F260" s="397">
        <f>(DSUM('1_Combustibles fósiles'!$E$17:$N$39,"emissions",'6.1_Resultados Illes Balears'!E$71:E260)/1000)-SUM(F$72:F259)</f>
        <v>0</v>
      </c>
      <c r="G260" s="397">
        <f>((DSUM('1_Combustibles fósiles'!$E$47:$U$67,"emissions1",'6.1_Resultados Illes Balears'!E$71:E260)+DSUM('1_Combustibles fósiles'!$E$47:$U$67,"emissions2",'6.1_Resultados Illes Balears'!E$71:E260))/1000)-SUM(G$72:G259)</f>
        <v>0</v>
      </c>
      <c r="H260" s="397">
        <f>(DSUM('2_Fluorados'!$E$11:$P$33,"emissions",'6.1_Resultados Illes Balears'!E$71:E260)/1000)-SUM(H$72:H259)</f>
        <v>0</v>
      </c>
      <c r="I260" s="503">
        <f>(DSUM('3_Emisiones proceso'!$E$13:$K$35,"emissions",'6.1_Resultados Illes Balears'!E$71:E260)/1000)-SUM(I$72:I259)</f>
        <v>0</v>
      </c>
      <c r="J260" s="503"/>
      <c r="K260" s="504">
        <f t="shared" si="4"/>
        <v>0</v>
      </c>
      <c r="L260" s="504"/>
      <c r="M260" s="504"/>
      <c r="N260" s="503">
        <f>((DSUM('4.1_Electricidad Illes Balears'!$E$20:$J$42,"emisiones",'6.1_Resultados Illes Balears'!E$71:E260)+DSUM('4.1_Electricidad Illes Balears'!$E$50:$K$70,"emisiones",'6.1_Resultados Illes Balears'!E$71:E260))/1000)-SUM(N$72:N259)</f>
        <v>0</v>
      </c>
      <c r="O260" s="504"/>
      <c r="P260" s="504">
        <f t="shared" si="5"/>
        <v>0</v>
      </c>
      <c r="Q260" s="504"/>
      <c r="R260" s="504"/>
    </row>
    <row r="261" spans="5:18" x14ac:dyDescent="0.3">
      <c r="E261" s="195" t="str">
        <f>IF(Dades!E851="","",Dades!E851)</f>
        <v/>
      </c>
      <c r="F261" s="397">
        <f>(DSUM('1_Combustibles fósiles'!$E$17:$N$39,"emissions",'6.1_Resultados Illes Balears'!E$71:E261)/1000)-SUM(F$72:F260)</f>
        <v>0</v>
      </c>
      <c r="G261" s="397">
        <f>((DSUM('1_Combustibles fósiles'!$E$47:$U$67,"emissions1",'6.1_Resultados Illes Balears'!E$71:E261)+DSUM('1_Combustibles fósiles'!$E$47:$U$67,"emissions2",'6.1_Resultados Illes Balears'!E$71:E261))/1000)-SUM(G$72:G260)</f>
        <v>0</v>
      </c>
      <c r="H261" s="397">
        <f>(DSUM('2_Fluorados'!$E$11:$P$33,"emissions",'6.1_Resultados Illes Balears'!E$71:E261)/1000)-SUM(H$72:H260)</f>
        <v>0</v>
      </c>
      <c r="I261" s="503">
        <f>(DSUM('3_Emisiones proceso'!$E$13:$K$35,"emissions",'6.1_Resultados Illes Balears'!E$71:E261)/1000)-SUM(I$72:I260)</f>
        <v>0</v>
      </c>
      <c r="J261" s="503"/>
      <c r="K261" s="504">
        <f t="shared" si="4"/>
        <v>0</v>
      </c>
      <c r="L261" s="504"/>
      <c r="M261" s="504"/>
      <c r="N261" s="503">
        <f>((DSUM('4.1_Electricidad Illes Balears'!$E$20:$J$42,"emisiones",'6.1_Resultados Illes Balears'!E$71:E261)+DSUM('4.1_Electricidad Illes Balears'!$E$50:$K$70,"emisiones",'6.1_Resultados Illes Balears'!E$71:E261))/1000)-SUM(N$72:N260)</f>
        <v>0</v>
      </c>
      <c r="O261" s="504"/>
      <c r="P261" s="504">
        <f t="shared" si="5"/>
        <v>0</v>
      </c>
      <c r="Q261" s="504"/>
      <c r="R261" s="504"/>
    </row>
    <row r="262" spans="5:18" x14ac:dyDescent="0.3">
      <c r="E262" s="195" t="str">
        <f>IF(Dades!E852="","",Dades!E852)</f>
        <v/>
      </c>
      <c r="F262" s="397">
        <f>(DSUM('1_Combustibles fósiles'!$E$17:$N$39,"emissions",'6.1_Resultados Illes Balears'!E$71:E262)/1000)-SUM(F$72:F261)</f>
        <v>0</v>
      </c>
      <c r="G262" s="397">
        <f>((DSUM('1_Combustibles fósiles'!$E$47:$U$67,"emissions1",'6.1_Resultados Illes Balears'!E$71:E262)+DSUM('1_Combustibles fósiles'!$E$47:$U$67,"emissions2",'6.1_Resultados Illes Balears'!E$71:E262))/1000)-SUM(G$72:G261)</f>
        <v>0</v>
      </c>
      <c r="H262" s="397">
        <f>(DSUM('2_Fluorados'!$E$11:$P$33,"emissions",'6.1_Resultados Illes Balears'!E$71:E262)/1000)-SUM(H$72:H261)</f>
        <v>0</v>
      </c>
      <c r="I262" s="503">
        <f>(DSUM('3_Emisiones proceso'!$E$13:$K$35,"emissions",'6.1_Resultados Illes Balears'!E$71:E262)/1000)-SUM(I$72:I261)</f>
        <v>0</v>
      </c>
      <c r="J262" s="503"/>
      <c r="K262" s="504">
        <f t="shared" si="4"/>
        <v>0</v>
      </c>
      <c r="L262" s="504"/>
      <c r="M262" s="504"/>
      <c r="N262" s="503">
        <f>((DSUM('4.1_Electricidad Illes Balears'!$E$20:$J$42,"emisiones",'6.1_Resultados Illes Balears'!E$71:E262)+DSUM('4.1_Electricidad Illes Balears'!$E$50:$K$70,"emisiones",'6.1_Resultados Illes Balears'!E$71:E262))/1000)-SUM(N$72:N261)</f>
        <v>0</v>
      </c>
      <c r="O262" s="504"/>
      <c r="P262" s="504">
        <f t="shared" si="5"/>
        <v>0</v>
      </c>
      <c r="Q262" s="504"/>
      <c r="R262" s="504"/>
    </row>
    <row r="263" spans="5:18" x14ac:dyDescent="0.3">
      <c r="E263" s="195" t="str">
        <f>IF(Dades!E853="","",Dades!E853)</f>
        <v/>
      </c>
      <c r="F263" s="397">
        <f>(DSUM('1_Combustibles fósiles'!$E$17:$N$39,"emissions",'6.1_Resultados Illes Balears'!E$71:E263)/1000)-SUM(F$72:F262)</f>
        <v>0</v>
      </c>
      <c r="G263" s="397">
        <f>((DSUM('1_Combustibles fósiles'!$E$47:$U$67,"emissions1",'6.1_Resultados Illes Balears'!E$71:E263)+DSUM('1_Combustibles fósiles'!$E$47:$U$67,"emissions2",'6.1_Resultados Illes Balears'!E$71:E263))/1000)-SUM(G$72:G262)</f>
        <v>0</v>
      </c>
      <c r="H263" s="397">
        <f>(DSUM('2_Fluorados'!$E$11:$P$33,"emissions",'6.1_Resultados Illes Balears'!E$71:E263)/1000)-SUM(H$72:H262)</f>
        <v>0</v>
      </c>
      <c r="I263" s="503">
        <f>(DSUM('3_Emisiones proceso'!$E$13:$K$35,"emissions",'6.1_Resultados Illes Balears'!E$71:E263)/1000)-SUM(I$72:I262)</f>
        <v>0</v>
      </c>
      <c r="J263" s="503"/>
      <c r="K263" s="504">
        <f t="shared" si="4"/>
        <v>0</v>
      </c>
      <c r="L263" s="504"/>
      <c r="M263" s="504"/>
      <c r="N263" s="503">
        <f>((DSUM('4.1_Electricidad Illes Balears'!$E$20:$J$42,"emisiones",'6.1_Resultados Illes Balears'!E$71:E263)+DSUM('4.1_Electricidad Illes Balears'!$E$50:$K$70,"emisiones",'6.1_Resultados Illes Balears'!E$71:E263))/1000)-SUM(N$72:N262)</f>
        <v>0</v>
      </c>
      <c r="O263" s="504"/>
      <c r="P263" s="504">
        <f t="shared" si="5"/>
        <v>0</v>
      </c>
      <c r="Q263" s="504"/>
      <c r="R263" s="504"/>
    </row>
    <row r="264" spans="5:18" x14ac:dyDescent="0.3">
      <c r="E264" s="195" t="str">
        <f>IF(Dades!E854="","",Dades!E854)</f>
        <v/>
      </c>
      <c r="F264" s="397">
        <f>(DSUM('1_Combustibles fósiles'!$E$17:$N$39,"emissions",'6.1_Resultados Illes Balears'!E$71:E264)/1000)-SUM(F$72:F263)</f>
        <v>0</v>
      </c>
      <c r="G264" s="397">
        <f>((DSUM('1_Combustibles fósiles'!$E$47:$U$67,"emissions1",'6.1_Resultados Illes Balears'!E$71:E264)+DSUM('1_Combustibles fósiles'!$E$47:$U$67,"emissions2",'6.1_Resultados Illes Balears'!E$71:E264))/1000)-SUM(G$72:G263)</f>
        <v>0</v>
      </c>
      <c r="H264" s="397">
        <f>(DSUM('2_Fluorados'!$E$11:$P$33,"emissions",'6.1_Resultados Illes Balears'!E$71:E264)/1000)-SUM(H$72:H263)</f>
        <v>0</v>
      </c>
      <c r="I264" s="503">
        <f>(DSUM('3_Emisiones proceso'!$E$13:$K$35,"emissions",'6.1_Resultados Illes Balears'!E$71:E264)/1000)-SUM(I$72:I263)</f>
        <v>0</v>
      </c>
      <c r="J264" s="503"/>
      <c r="K264" s="504">
        <f t="shared" si="4"/>
        <v>0</v>
      </c>
      <c r="L264" s="504"/>
      <c r="M264" s="504"/>
      <c r="N264" s="503">
        <f>((DSUM('4.1_Electricidad Illes Balears'!$E$20:$J$42,"emisiones",'6.1_Resultados Illes Balears'!E$71:E264)+DSUM('4.1_Electricidad Illes Balears'!$E$50:$K$70,"emisiones",'6.1_Resultados Illes Balears'!E$71:E264))/1000)-SUM(N$72:N263)</f>
        <v>0</v>
      </c>
      <c r="O264" s="504"/>
      <c r="P264" s="504">
        <f t="shared" si="5"/>
        <v>0</v>
      </c>
      <c r="Q264" s="504"/>
      <c r="R264" s="504"/>
    </row>
    <row r="265" spans="5:18" x14ac:dyDescent="0.3">
      <c r="E265" s="195" t="str">
        <f>IF(Dades!E855="","",Dades!E855)</f>
        <v/>
      </c>
      <c r="F265" s="397">
        <f>(DSUM('1_Combustibles fósiles'!$E$17:$N$39,"emissions",'6.1_Resultados Illes Balears'!E$71:E265)/1000)-SUM(F$72:F264)</f>
        <v>0</v>
      </c>
      <c r="G265" s="397">
        <f>((DSUM('1_Combustibles fósiles'!$E$47:$U$67,"emissions1",'6.1_Resultados Illes Balears'!E$71:E265)+DSUM('1_Combustibles fósiles'!$E$47:$U$67,"emissions2",'6.1_Resultados Illes Balears'!E$71:E265))/1000)-SUM(G$72:G264)</f>
        <v>0</v>
      </c>
      <c r="H265" s="397">
        <f>(DSUM('2_Fluorados'!$E$11:$P$33,"emissions",'6.1_Resultados Illes Balears'!E$71:E265)/1000)-SUM(H$72:H264)</f>
        <v>0</v>
      </c>
      <c r="I265" s="503">
        <f>(DSUM('3_Emisiones proceso'!$E$13:$K$35,"emissions",'6.1_Resultados Illes Balears'!E$71:E265)/1000)-SUM(I$72:I264)</f>
        <v>0</v>
      </c>
      <c r="J265" s="503"/>
      <c r="K265" s="504">
        <f t="shared" si="4"/>
        <v>0</v>
      </c>
      <c r="L265" s="504"/>
      <c r="M265" s="504"/>
      <c r="N265" s="503">
        <f>((DSUM('4.1_Electricidad Illes Balears'!$E$20:$J$42,"emisiones",'6.1_Resultados Illes Balears'!E$71:E265)+DSUM('4.1_Electricidad Illes Balears'!$E$50:$K$70,"emisiones",'6.1_Resultados Illes Balears'!E$71:E265))/1000)-SUM(N$72:N264)</f>
        <v>0</v>
      </c>
      <c r="O265" s="504"/>
      <c r="P265" s="504">
        <f t="shared" si="5"/>
        <v>0</v>
      </c>
      <c r="Q265" s="504"/>
      <c r="R265" s="504"/>
    </row>
    <row r="266" spans="5:18" x14ac:dyDescent="0.3">
      <c r="E266" s="195" t="str">
        <f>IF(Dades!E856="","",Dades!E856)</f>
        <v/>
      </c>
      <c r="F266" s="397">
        <f>(DSUM('1_Combustibles fósiles'!$E$17:$N$39,"emissions",'6.1_Resultados Illes Balears'!E$71:E266)/1000)-SUM(F$72:F265)</f>
        <v>0</v>
      </c>
      <c r="G266" s="397">
        <f>((DSUM('1_Combustibles fósiles'!$E$47:$U$67,"emissions1",'6.1_Resultados Illes Balears'!E$71:E266)+DSUM('1_Combustibles fósiles'!$E$47:$U$67,"emissions2",'6.1_Resultados Illes Balears'!E$71:E266))/1000)-SUM(G$72:G265)</f>
        <v>0</v>
      </c>
      <c r="H266" s="397">
        <f>(DSUM('2_Fluorados'!$E$11:$P$33,"emissions",'6.1_Resultados Illes Balears'!E$71:E266)/1000)-SUM(H$72:H265)</f>
        <v>0</v>
      </c>
      <c r="I266" s="503">
        <f>(DSUM('3_Emisiones proceso'!$E$13:$K$35,"emissions",'6.1_Resultados Illes Balears'!E$71:E266)/1000)-SUM(I$72:I265)</f>
        <v>0</v>
      </c>
      <c r="J266" s="503"/>
      <c r="K266" s="504">
        <f t="shared" si="4"/>
        <v>0</v>
      </c>
      <c r="L266" s="504"/>
      <c r="M266" s="504"/>
      <c r="N266" s="503">
        <f>((DSUM('4.1_Electricidad Illes Balears'!$E$20:$J$42,"emisiones",'6.1_Resultados Illes Balears'!E$71:E266)+DSUM('4.1_Electricidad Illes Balears'!$E$50:$K$70,"emisiones",'6.1_Resultados Illes Balears'!E$71:E266))/1000)-SUM(N$72:N265)</f>
        <v>0</v>
      </c>
      <c r="O266" s="504"/>
      <c r="P266" s="504">
        <f t="shared" si="5"/>
        <v>0</v>
      </c>
      <c r="Q266" s="504"/>
      <c r="R266" s="504"/>
    </row>
    <row r="267" spans="5:18" x14ac:dyDescent="0.3">
      <c r="E267" s="195" t="str">
        <f>IF(Dades!E857="","",Dades!E857)</f>
        <v/>
      </c>
      <c r="F267" s="397">
        <f>(DSUM('1_Combustibles fósiles'!$E$17:$N$39,"emissions",'6.1_Resultados Illes Balears'!E$71:E267)/1000)-SUM(F$72:F266)</f>
        <v>0</v>
      </c>
      <c r="G267" s="397">
        <f>((DSUM('1_Combustibles fósiles'!$E$47:$U$67,"emissions1",'6.1_Resultados Illes Balears'!E$71:E267)+DSUM('1_Combustibles fósiles'!$E$47:$U$67,"emissions2",'6.1_Resultados Illes Balears'!E$71:E267))/1000)-SUM(G$72:G266)</f>
        <v>0</v>
      </c>
      <c r="H267" s="397">
        <f>(DSUM('2_Fluorados'!$E$11:$P$33,"emissions",'6.1_Resultados Illes Balears'!E$71:E267)/1000)-SUM(H$72:H266)</f>
        <v>0</v>
      </c>
      <c r="I267" s="503">
        <f>(DSUM('3_Emisiones proceso'!$E$13:$K$35,"emissions",'6.1_Resultados Illes Balears'!E$71:E267)/1000)-SUM(I$72:I266)</f>
        <v>0</v>
      </c>
      <c r="J267" s="503"/>
      <c r="K267" s="504">
        <f t="shared" ref="K267:K321" si="6">SUM(F267:J267)</f>
        <v>0</v>
      </c>
      <c r="L267" s="504"/>
      <c r="M267" s="504"/>
      <c r="N267" s="503">
        <f>((DSUM('4.1_Electricidad Illes Balears'!$E$20:$J$42,"emisiones",'6.1_Resultados Illes Balears'!E$71:E267)+DSUM('4.1_Electricidad Illes Balears'!$E$50:$K$70,"emisiones",'6.1_Resultados Illes Balears'!E$71:E267))/1000)-SUM(N$72:N266)</f>
        <v>0</v>
      </c>
      <c r="O267" s="504"/>
      <c r="P267" s="504">
        <f t="shared" ref="P267:P321" si="7">K267+N267</f>
        <v>0</v>
      </c>
      <c r="Q267" s="504"/>
      <c r="R267" s="504"/>
    </row>
    <row r="268" spans="5:18" x14ac:dyDescent="0.3">
      <c r="E268" s="195" t="str">
        <f>IF(Dades!E858="","",Dades!E858)</f>
        <v/>
      </c>
      <c r="F268" s="397">
        <f>(DSUM('1_Combustibles fósiles'!$E$17:$N$39,"emissions",'6.1_Resultados Illes Balears'!E$71:E268)/1000)-SUM(F$72:F267)</f>
        <v>0</v>
      </c>
      <c r="G268" s="397">
        <f>((DSUM('1_Combustibles fósiles'!$E$47:$U$67,"emissions1",'6.1_Resultados Illes Balears'!E$71:E268)+DSUM('1_Combustibles fósiles'!$E$47:$U$67,"emissions2",'6.1_Resultados Illes Balears'!E$71:E268))/1000)-SUM(G$72:G267)</f>
        <v>0</v>
      </c>
      <c r="H268" s="397">
        <f>(DSUM('2_Fluorados'!$E$11:$P$33,"emissions",'6.1_Resultados Illes Balears'!E$71:E268)/1000)-SUM(H$72:H267)</f>
        <v>0</v>
      </c>
      <c r="I268" s="503">
        <f>(DSUM('3_Emisiones proceso'!$E$13:$K$35,"emissions",'6.1_Resultados Illes Balears'!E$71:E268)/1000)-SUM(I$72:I267)</f>
        <v>0</v>
      </c>
      <c r="J268" s="503"/>
      <c r="K268" s="504">
        <f t="shared" si="6"/>
        <v>0</v>
      </c>
      <c r="L268" s="504"/>
      <c r="M268" s="504"/>
      <c r="N268" s="503">
        <f>((DSUM('4.1_Electricidad Illes Balears'!$E$20:$J$42,"emisiones",'6.1_Resultados Illes Balears'!E$71:E268)+DSUM('4.1_Electricidad Illes Balears'!$E$50:$K$70,"emisiones",'6.1_Resultados Illes Balears'!E$71:E268))/1000)-SUM(N$72:N267)</f>
        <v>0</v>
      </c>
      <c r="O268" s="504"/>
      <c r="P268" s="504">
        <f t="shared" si="7"/>
        <v>0</v>
      </c>
      <c r="Q268" s="504"/>
      <c r="R268" s="504"/>
    </row>
    <row r="269" spans="5:18" x14ac:dyDescent="0.3">
      <c r="E269" s="195" t="str">
        <f>IF(Dades!E859="","",Dades!E859)</f>
        <v/>
      </c>
      <c r="F269" s="397">
        <f>(DSUM('1_Combustibles fósiles'!$E$17:$N$39,"emissions",'6.1_Resultados Illes Balears'!E$71:E269)/1000)-SUM(F$72:F268)</f>
        <v>0</v>
      </c>
      <c r="G269" s="397">
        <f>((DSUM('1_Combustibles fósiles'!$E$47:$U$67,"emissions1",'6.1_Resultados Illes Balears'!E$71:E269)+DSUM('1_Combustibles fósiles'!$E$47:$U$67,"emissions2",'6.1_Resultados Illes Balears'!E$71:E269))/1000)-SUM(G$72:G268)</f>
        <v>0</v>
      </c>
      <c r="H269" s="397">
        <f>(DSUM('2_Fluorados'!$E$11:$P$33,"emissions",'6.1_Resultados Illes Balears'!E$71:E269)/1000)-SUM(H$72:H268)</f>
        <v>0</v>
      </c>
      <c r="I269" s="503">
        <f>(DSUM('3_Emisiones proceso'!$E$13:$K$35,"emissions",'6.1_Resultados Illes Balears'!E$71:E269)/1000)-SUM(I$72:I268)</f>
        <v>0</v>
      </c>
      <c r="J269" s="503"/>
      <c r="K269" s="504">
        <f t="shared" si="6"/>
        <v>0</v>
      </c>
      <c r="L269" s="504"/>
      <c r="M269" s="504"/>
      <c r="N269" s="503">
        <f>((DSUM('4.1_Electricidad Illes Balears'!$E$20:$J$42,"emisiones",'6.1_Resultados Illes Balears'!E$71:E269)+DSUM('4.1_Electricidad Illes Balears'!$E$50:$K$70,"emisiones",'6.1_Resultados Illes Balears'!E$71:E269))/1000)-SUM(N$72:N268)</f>
        <v>0</v>
      </c>
      <c r="O269" s="504"/>
      <c r="P269" s="504">
        <f t="shared" si="7"/>
        <v>0</v>
      </c>
      <c r="Q269" s="504"/>
      <c r="R269" s="504"/>
    </row>
    <row r="270" spans="5:18" x14ac:dyDescent="0.3">
      <c r="E270" s="195" t="str">
        <f>IF(Dades!E860="","",Dades!E860)</f>
        <v/>
      </c>
      <c r="F270" s="397">
        <f>(DSUM('1_Combustibles fósiles'!$E$17:$N$39,"emissions",'6.1_Resultados Illes Balears'!E$71:E270)/1000)-SUM(F$72:F269)</f>
        <v>0</v>
      </c>
      <c r="G270" s="397">
        <f>((DSUM('1_Combustibles fósiles'!$E$47:$U$67,"emissions1",'6.1_Resultados Illes Balears'!E$71:E270)+DSUM('1_Combustibles fósiles'!$E$47:$U$67,"emissions2",'6.1_Resultados Illes Balears'!E$71:E270))/1000)-SUM(G$72:G269)</f>
        <v>0</v>
      </c>
      <c r="H270" s="397">
        <f>(DSUM('2_Fluorados'!$E$11:$P$33,"emissions",'6.1_Resultados Illes Balears'!E$71:E270)/1000)-SUM(H$72:H269)</f>
        <v>0</v>
      </c>
      <c r="I270" s="503">
        <f>(DSUM('3_Emisiones proceso'!$E$13:$K$35,"emissions",'6.1_Resultados Illes Balears'!E$71:E270)/1000)-SUM(I$72:I269)</f>
        <v>0</v>
      </c>
      <c r="J270" s="503"/>
      <c r="K270" s="504">
        <f t="shared" si="6"/>
        <v>0</v>
      </c>
      <c r="L270" s="504"/>
      <c r="M270" s="504"/>
      <c r="N270" s="503">
        <f>((DSUM('4.1_Electricidad Illes Balears'!$E$20:$J$42,"emisiones",'6.1_Resultados Illes Balears'!E$71:E270)+DSUM('4.1_Electricidad Illes Balears'!$E$50:$K$70,"emisiones",'6.1_Resultados Illes Balears'!E$71:E270))/1000)-SUM(N$72:N269)</f>
        <v>0</v>
      </c>
      <c r="O270" s="504"/>
      <c r="P270" s="504">
        <f t="shared" si="7"/>
        <v>0</v>
      </c>
      <c r="Q270" s="504"/>
      <c r="R270" s="504"/>
    </row>
    <row r="271" spans="5:18" x14ac:dyDescent="0.3">
      <c r="E271" s="195" t="str">
        <f>IF(Dades!E861="","",Dades!E861)</f>
        <v/>
      </c>
      <c r="F271" s="397">
        <f>(DSUM('1_Combustibles fósiles'!$E$17:$N$39,"emissions",'6.1_Resultados Illes Balears'!E$71:E271)/1000)-SUM(F$72:F270)</f>
        <v>0</v>
      </c>
      <c r="G271" s="397">
        <f>((DSUM('1_Combustibles fósiles'!$E$47:$U$67,"emissions1",'6.1_Resultados Illes Balears'!E$71:E271)+DSUM('1_Combustibles fósiles'!$E$47:$U$67,"emissions2",'6.1_Resultados Illes Balears'!E$71:E271))/1000)-SUM(G$72:G270)</f>
        <v>0</v>
      </c>
      <c r="H271" s="397">
        <f>(DSUM('2_Fluorados'!$E$11:$P$33,"emissions",'6.1_Resultados Illes Balears'!E$71:E271)/1000)-SUM(H$72:H270)</f>
        <v>0</v>
      </c>
      <c r="I271" s="503">
        <f>(DSUM('3_Emisiones proceso'!$E$13:$K$35,"emissions",'6.1_Resultados Illes Balears'!E$71:E271)/1000)-SUM(I$72:I270)</f>
        <v>0</v>
      </c>
      <c r="J271" s="503"/>
      <c r="K271" s="504">
        <f t="shared" si="6"/>
        <v>0</v>
      </c>
      <c r="L271" s="504"/>
      <c r="M271" s="504"/>
      <c r="N271" s="503">
        <f>((DSUM('4.1_Electricidad Illes Balears'!$E$20:$J$42,"emisiones",'6.1_Resultados Illes Balears'!E$71:E271)+DSUM('4.1_Electricidad Illes Balears'!$E$50:$K$70,"emisiones",'6.1_Resultados Illes Balears'!E$71:E271))/1000)-SUM(N$72:N270)</f>
        <v>0</v>
      </c>
      <c r="O271" s="504"/>
      <c r="P271" s="504">
        <f t="shared" si="7"/>
        <v>0</v>
      </c>
      <c r="Q271" s="504"/>
      <c r="R271" s="504"/>
    </row>
    <row r="272" spans="5:18" x14ac:dyDescent="0.3">
      <c r="E272" s="195" t="str">
        <f>IF(Dades!E862="","",Dades!E862)</f>
        <v/>
      </c>
      <c r="F272" s="397">
        <f>(DSUM('1_Combustibles fósiles'!$E$17:$N$39,"emissions",'6.1_Resultados Illes Balears'!E$71:E272)/1000)-SUM(F$72:F271)</f>
        <v>0</v>
      </c>
      <c r="G272" s="397">
        <f>((DSUM('1_Combustibles fósiles'!$E$47:$U$67,"emissions1",'6.1_Resultados Illes Balears'!E$71:E272)+DSUM('1_Combustibles fósiles'!$E$47:$U$67,"emissions2",'6.1_Resultados Illes Balears'!E$71:E272))/1000)-SUM(G$72:G271)</f>
        <v>0</v>
      </c>
      <c r="H272" s="397">
        <f>(DSUM('2_Fluorados'!$E$11:$P$33,"emissions",'6.1_Resultados Illes Balears'!E$71:E272)/1000)-SUM(H$72:H271)</f>
        <v>0</v>
      </c>
      <c r="I272" s="503">
        <f>(DSUM('3_Emisiones proceso'!$E$13:$K$35,"emissions",'6.1_Resultados Illes Balears'!E$71:E272)/1000)-SUM(I$72:I271)</f>
        <v>0</v>
      </c>
      <c r="J272" s="503"/>
      <c r="K272" s="504">
        <f t="shared" si="6"/>
        <v>0</v>
      </c>
      <c r="L272" s="504"/>
      <c r="M272" s="504"/>
      <c r="N272" s="503">
        <f>((DSUM('4.1_Electricidad Illes Balears'!$E$20:$J$42,"emisiones",'6.1_Resultados Illes Balears'!E$71:E272)+DSUM('4.1_Electricidad Illes Balears'!$E$50:$K$70,"emisiones",'6.1_Resultados Illes Balears'!E$71:E272))/1000)-SUM(N$72:N271)</f>
        <v>0</v>
      </c>
      <c r="O272" s="504"/>
      <c r="P272" s="504">
        <f t="shared" si="7"/>
        <v>0</v>
      </c>
      <c r="Q272" s="504"/>
      <c r="R272" s="504"/>
    </row>
    <row r="273" spans="5:18" x14ac:dyDescent="0.3">
      <c r="E273" s="195" t="str">
        <f>IF(Dades!E863="","",Dades!E863)</f>
        <v/>
      </c>
      <c r="F273" s="397">
        <f>(DSUM('1_Combustibles fósiles'!$E$17:$N$39,"emissions",'6.1_Resultados Illes Balears'!E$71:E273)/1000)-SUM(F$72:F272)</f>
        <v>0</v>
      </c>
      <c r="G273" s="397">
        <f>((DSUM('1_Combustibles fósiles'!$E$47:$U$67,"emissions1",'6.1_Resultados Illes Balears'!E$71:E273)+DSUM('1_Combustibles fósiles'!$E$47:$U$67,"emissions2",'6.1_Resultados Illes Balears'!E$71:E273))/1000)-SUM(G$72:G272)</f>
        <v>0</v>
      </c>
      <c r="H273" s="397">
        <f>(DSUM('2_Fluorados'!$E$11:$P$33,"emissions",'6.1_Resultados Illes Balears'!E$71:E273)/1000)-SUM(H$72:H272)</f>
        <v>0</v>
      </c>
      <c r="I273" s="503">
        <f>(DSUM('3_Emisiones proceso'!$E$13:$K$35,"emissions",'6.1_Resultados Illes Balears'!E$71:E273)/1000)-SUM(I$72:I272)</f>
        <v>0</v>
      </c>
      <c r="J273" s="503"/>
      <c r="K273" s="504">
        <f t="shared" si="6"/>
        <v>0</v>
      </c>
      <c r="L273" s="504"/>
      <c r="M273" s="504"/>
      <c r="N273" s="503">
        <f>((DSUM('4.1_Electricidad Illes Balears'!$E$20:$J$42,"emisiones",'6.1_Resultados Illes Balears'!E$71:E273)+DSUM('4.1_Electricidad Illes Balears'!$E$50:$K$70,"emisiones",'6.1_Resultados Illes Balears'!E$71:E273))/1000)-SUM(N$72:N272)</f>
        <v>0</v>
      </c>
      <c r="O273" s="504"/>
      <c r="P273" s="504">
        <f t="shared" si="7"/>
        <v>0</v>
      </c>
      <c r="Q273" s="504"/>
      <c r="R273" s="504"/>
    </row>
    <row r="274" spans="5:18" x14ac:dyDescent="0.3">
      <c r="E274" s="195" t="str">
        <f>IF(Dades!E864="","",Dades!E864)</f>
        <v/>
      </c>
      <c r="F274" s="397">
        <f>(DSUM('1_Combustibles fósiles'!$E$17:$N$39,"emissions",'6.1_Resultados Illes Balears'!E$71:E274)/1000)-SUM(F$72:F273)</f>
        <v>0</v>
      </c>
      <c r="G274" s="397">
        <f>((DSUM('1_Combustibles fósiles'!$E$47:$U$67,"emissions1",'6.1_Resultados Illes Balears'!E$71:E274)+DSUM('1_Combustibles fósiles'!$E$47:$U$67,"emissions2",'6.1_Resultados Illes Balears'!E$71:E274))/1000)-SUM(G$72:G273)</f>
        <v>0</v>
      </c>
      <c r="H274" s="397">
        <f>(DSUM('2_Fluorados'!$E$11:$P$33,"emissions",'6.1_Resultados Illes Balears'!E$71:E274)/1000)-SUM(H$72:H273)</f>
        <v>0</v>
      </c>
      <c r="I274" s="503">
        <f>(DSUM('3_Emisiones proceso'!$E$13:$K$35,"emissions",'6.1_Resultados Illes Balears'!E$71:E274)/1000)-SUM(I$72:I273)</f>
        <v>0</v>
      </c>
      <c r="J274" s="503"/>
      <c r="K274" s="504">
        <f t="shared" si="6"/>
        <v>0</v>
      </c>
      <c r="L274" s="504"/>
      <c r="M274" s="504"/>
      <c r="N274" s="503">
        <f>((DSUM('4.1_Electricidad Illes Balears'!$E$20:$J$42,"emisiones",'6.1_Resultados Illes Balears'!E$71:E274)+DSUM('4.1_Electricidad Illes Balears'!$E$50:$K$70,"emisiones",'6.1_Resultados Illes Balears'!E$71:E274))/1000)-SUM(N$72:N273)</f>
        <v>0</v>
      </c>
      <c r="O274" s="504"/>
      <c r="P274" s="504">
        <f t="shared" si="7"/>
        <v>0</v>
      </c>
      <c r="Q274" s="504"/>
      <c r="R274" s="504"/>
    </row>
    <row r="275" spans="5:18" x14ac:dyDescent="0.3">
      <c r="E275" s="195" t="str">
        <f>IF(Dades!E865="","",Dades!E865)</f>
        <v/>
      </c>
      <c r="F275" s="397">
        <f>(DSUM('1_Combustibles fósiles'!$E$17:$N$39,"emissions",'6.1_Resultados Illes Balears'!E$71:E275)/1000)-SUM(F$72:F274)</f>
        <v>0</v>
      </c>
      <c r="G275" s="397">
        <f>((DSUM('1_Combustibles fósiles'!$E$47:$U$67,"emissions1",'6.1_Resultados Illes Balears'!E$71:E275)+DSUM('1_Combustibles fósiles'!$E$47:$U$67,"emissions2",'6.1_Resultados Illes Balears'!E$71:E275))/1000)-SUM(G$72:G274)</f>
        <v>0</v>
      </c>
      <c r="H275" s="397">
        <f>(DSUM('2_Fluorados'!$E$11:$P$33,"emissions",'6.1_Resultados Illes Balears'!E$71:E275)/1000)-SUM(H$72:H274)</f>
        <v>0</v>
      </c>
      <c r="I275" s="503">
        <f>(DSUM('3_Emisiones proceso'!$E$13:$K$35,"emissions",'6.1_Resultados Illes Balears'!E$71:E275)/1000)-SUM(I$72:I274)</f>
        <v>0</v>
      </c>
      <c r="J275" s="503"/>
      <c r="K275" s="504">
        <f t="shared" si="6"/>
        <v>0</v>
      </c>
      <c r="L275" s="504"/>
      <c r="M275" s="504"/>
      <c r="N275" s="503">
        <f>((DSUM('4.1_Electricidad Illes Balears'!$E$20:$J$42,"emisiones",'6.1_Resultados Illes Balears'!E$71:E275)+DSUM('4.1_Electricidad Illes Balears'!$E$50:$K$70,"emisiones",'6.1_Resultados Illes Balears'!E$71:E275))/1000)-SUM(N$72:N274)</f>
        <v>0</v>
      </c>
      <c r="O275" s="504"/>
      <c r="P275" s="504">
        <f t="shared" si="7"/>
        <v>0</v>
      </c>
      <c r="Q275" s="504"/>
      <c r="R275" s="504"/>
    </row>
    <row r="276" spans="5:18" x14ac:dyDescent="0.3">
      <c r="E276" s="195" t="str">
        <f>IF(Dades!E866="","",Dades!E866)</f>
        <v/>
      </c>
      <c r="F276" s="397">
        <f>(DSUM('1_Combustibles fósiles'!$E$17:$N$39,"emissions",'6.1_Resultados Illes Balears'!E$71:E276)/1000)-SUM(F$72:F275)</f>
        <v>0</v>
      </c>
      <c r="G276" s="397">
        <f>((DSUM('1_Combustibles fósiles'!$E$47:$U$67,"emissions1",'6.1_Resultados Illes Balears'!E$71:E276)+DSUM('1_Combustibles fósiles'!$E$47:$U$67,"emissions2",'6.1_Resultados Illes Balears'!E$71:E276))/1000)-SUM(G$72:G275)</f>
        <v>0</v>
      </c>
      <c r="H276" s="397">
        <f>(DSUM('2_Fluorados'!$E$11:$P$33,"emissions",'6.1_Resultados Illes Balears'!E$71:E276)/1000)-SUM(H$72:H275)</f>
        <v>0</v>
      </c>
      <c r="I276" s="503">
        <f>(DSUM('3_Emisiones proceso'!$E$13:$K$35,"emissions",'6.1_Resultados Illes Balears'!E$71:E276)/1000)-SUM(I$72:I275)</f>
        <v>0</v>
      </c>
      <c r="J276" s="503"/>
      <c r="K276" s="504">
        <f t="shared" si="6"/>
        <v>0</v>
      </c>
      <c r="L276" s="504"/>
      <c r="M276" s="504"/>
      <c r="N276" s="503">
        <f>((DSUM('4.1_Electricidad Illes Balears'!$E$20:$J$42,"emisiones",'6.1_Resultados Illes Balears'!E$71:E276)+DSUM('4.1_Electricidad Illes Balears'!$E$50:$K$70,"emisiones",'6.1_Resultados Illes Balears'!E$71:E276))/1000)-SUM(N$72:N275)</f>
        <v>0</v>
      </c>
      <c r="O276" s="504"/>
      <c r="P276" s="504">
        <f t="shared" si="7"/>
        <v>0</v>
      </c>
      <c r="Q276" s="504"/>
      <c r="R276" s="504"/>
    </row>
    <row r="277" spans="5:18" x14ac:dyDescent="0.3">
      <c r="E277" s="195" t="str">
        <f>IF(Dades!E867="","",Dades!E867)</f>
        <v/>
      </c>
      <c r="F277" s="397">
        <f>(DSUM('1_Combustibles fósiles'!$E$17:$N$39,"emissions",'6.1_Resultados Illes Balears'!E$71:E277)/1000)-SUM(F$72:F276)</f>
        <v>0</v>
      </c>
      <c r="G277" s="397">
        <f>((DSUM('1_Combustibles fósiles'!$E$47:$U$67,"emissions1",'6.1_Resultados Illes Balears'!E$71:E277)+DSUM('1_Combustibles fósiles'!$E$47:$U$67,"emissions2",'6.1_Resultados Illes Balears'!E$71:E277))/1000)-SUM(G$72:G276)</f>
        <v>0</v>
      </c>
      <c r="H277" s="397">
        <f>(DSUM('2_Fluorados'!$E$11:$P$33,"emissions",'6.1_Resultados Illes Balears'!E$71:E277)/1000)-SUM(H$72:H276)</f>
        <v>0</v>
      </c>
      <c r="I277" s="503">
        <f>(DSUM('3_Emisiones proceso'!$E$13:$K$35,"emissions",'6.1_Resultados Illes Balears'!E$71:E277)/1000)-SUM(I$72:I276)</f>
        <v>0</v>
      </c>
      <c r="J277" s="503"/>
      <c r="K277" s="504">
        <f t="shared" si="6"/>
        <v>0</v>
      </c>
      <c r="L277" s="504"/>
      <c r="M277" s="504"/>
      <c r="N277" s="503">
        <f>((DSUM('4.1_Electricidad Illes Balears'!$E$20:$J$42,"emisiones",'6.1_Resultados Illes Balears'!E$71:E277)+DSUM('4.1_Electricidad Illes Balears'!$E$50:$K$70,"emisiones",'6.1_Resultados Illes Balears'!E$71:E277))/1000)-SUM(N$72:N276)</f>
        <v>0</v>
      </c>
      <c r="O277" s="504"/>
      <c r="P277" s="504">
        <f t="shared" si="7"/>
        <v>0</v>
      </c>
      <c r="Q277" s="504"/>
      <c r="R277" s="504"/>
    </row>
    <row r="278" spans="5:18" x14ac:dyDescent="0.3">
      <c r="E278" s="195" t="str">
        <f>IF(Dades!E868="","",Dades!E868)</f>
        <v/>
      </c>
      <c r="F278" s="397">
        <f>(DSUM('1_Combustibles fósiles'!$E$17:$N$39,"emissions",'6.1_Resultados Illes Balears'!E$71:E278)/1000)-SUM(F$72:F277)</f>
        <v>0</v>
      </c>
      <c r="G278" s="397">
        <f>((DSUM('1_Combustibles fósiles'!$E$47:$U$67,"emissions1",'6.1_Resultados Illes Balears'!E$71:E278)+DSUM('1_Combustibles fósiles'!$E$47:$U$67,"emissions2",'6.1_Resultados Illes Balears'!E$71:E278))/1000)-SUM(G$72:G277)</f>
        <v>0</v>
      </c>
      <c r="H278" s="397">
        <f>(DSUM('2_Fluorados'!$E$11:$P$33,"emissions",'6.1_Resultados Illes Balears'!E$71:E278)/1000)-SUM(H$72:H277)</f>
        <v>0</v>
      </c>
      <c r="I278" s="503">
        <f>(DSUM('3_Emisiones proceso'!$E$13:$K$35,"emissions",'6.1_Resultados Illes Balears'!E$71:E278)/1000)-SUM(I$72:I277)</f>
        <v>0</v>
      </c>
      <c r="J278" s="503"/>
      <c r="K278" s="504">
        <f t="shared" si="6"/>
        <v>0</v>
      </c>
      <c r="L278" s="504"/>
      <c r="M278" s="504"/>
      <c r="N278" s="503">
        <f>((DSUM('4.1_Electricidad Illes Balears'!$E$20:$J$42,"emisiones",'6.1_Resultados Illes Balears'!E$71:E278)+DSUM('4.1_Electricidad Illes Balears'!$E$50:$K$70,"emisiones",'6.1_Resultados Illes Balears'!E$71:E278))/1000)-SUM(N$72:N277)</f>
        <v>0</v>
      </c>
      <c r="O278" s="504"/>
      <c r="P278" s="504">
        <f t="shared" si="7"/>
        <v>0</v>
      </c>
      <c r="Q278" s="504"/>
      <c r="R278" s="504"/>
    </row>
    <row r="279" spans="5:18" x14ac:dyDescent="0.3">
      <c r="E279" s="195" t="str">
        <f>IF(Dades!E869="","",Dades!E869)</f>
        <v/>
      </c>
      <c r="F279" s="397">
        <f>(DSUM('1_Combustibles fósiles'!$E$17:$N$39,"emissions",'6.1_Resultados Illes Balears'!E$71:E279)/1000)-SUM(F$72:F278)</f>
        <v>0</v>
      </c>
      <c r="G279" s="397">
        <f>((DSUM('1_Combustibles fósiles'!$E$47:$U$67,"emissions1",'6.1_Resultados Illes Balears'!E$71:E279)+DSUM('1_Combustibles fósiles'!$E$47:$U$67,"emissions2",'6.1_Resultados Illes Balears'!E$71:E279))/1000)-SUM(G$72:G278)</f>
        <v>0</v>
      </c>
      <c r="H279" s="397">
        <f>(DSUM('2_Fluorados'!$E$11:$P$33,"emissions",'6.1_Resultados Illes Balears'!E$71:E279)/1000)-SUM(H$72:H278)</f>
        <v>0</v>
      </c>
      <c r="I279" s="503">
        <f>(DSUM('3_Emisiones proceso'!$E$13:$K$35,"emissions",'6.1_Resultados Illes Balears'!E$71:E279)/1000)-SUM(I$72:I278)</f>
        <v>0</v>
      </c>
      <c r="J279" s="503"/>
      <c r="K279" s="504">
        <f t="shared" si="6"/>
        <v>0</v>
      </c>
      <c r="L279" s="504"/>
      <c r="M279" s="504"/>
      <c r="N279" s="503">
        <f>((DSUM('4.1_Electricidad Illes Balears'!$E$20:$J$42,"emisiones",'6.1_Resultados Illes Balears'!E$71:E279)+DSUM('4.1_Electricidad Illes Balears'!$E$50:$K$70,"emisiones",'6.1_Resultados Illes Balears'!E$71:E279))/1000)-SUM(N$72:N278)</f>
        <v>0</v>
      </c>
      <c r="O279" s="504"/>
      <c r="P279" s="504">
        <f t="shared" si="7"/>
        <v>0</v>
      </c>
      <c r="Q279" s="504"/>
      <c r="R279" s="504"/>
    </row>
    <row r="280" spans="5:18" x14ac:dyDescent="0.3">
      <c r="E280" s="195" t="str">
        <f>IF(Dades!E870="","",Dades!E870)</f>
        <v/>
      </c>
      <c r="F280" s="397">
        <f>(DSUM('1_Combustibles fósiles'!$E$17:$N$39,"emissions",'6.1_Resultados Illes Balears'!E$71:E280)/1000)-SUM(F$72:F279)</f>
        <v>0</v>
      </c>
      <c r="G280" s="397">
        <f>((DSUM('1_Combustibles fósiles'!$E$47:$U$67,"emissions1",'6.1_Resultados Illes Balears'!E$71:E280)+DSUM('1_Combustibles fósiles'!$E$47:$U$67,"emissions2",'6.1_Resultados Illes Balears'!E$71:E280))/1000)-SUM(G$72:G279)</f>
        <v>0</v>
      </c>
      <c r="H280" s="397">
        <f>(DSUM('2_Fluorados'!$E$11:$P$33,"emissions",'6.1_Resultados Illes Balears'!E$71:E280)/1000)-SUM(H$72:H279)</f>
        <v>0</v>
      </c>
      <c r="I280" s="503">
        <f>(DSUM('3_Emisiones proceso'!$E$13:$K$35,"emissions",'6.1_Resultados Illes Balears'!E$71:E280)/1000)-SUM(I$72:I279)</f>
        <v>0</v>
      </c>
      <c r="J280" s="503"/>
      <c r="K280" s="504">
        <f t="shared" si="6"/>
        <v>0</v>
      </c>
      <c r="L280" s="504"/>
      <c r="M280" s="504"/>
      <c r="N280" s="503">
        <f>((DSUM('4.1_Electricidad Illes Balears'!$E$20:$J$42,"emisiones",'6.1_Resultados Illes Balears'!E$71:E280)+DSUM('4.1_Electricidad Illes Balears'!$E$50:$K$70,"emisiones",'6.1_Resultados Illes Balears'!E$71:E280))/1000)-SUM(N$72:N279)</f>
        <v>0</v>
      </c>
      <c r="O280" s="504"/>
      <c r="P280" s="504">
        <f t="shared" si="7"/>
        <v>0</v>
      </c>
      <c r="Q280" s="504"/>
      <c r="R280" s="504"/>
    </row>
    <row r="281" spans="5:18" x14ac:dyDescent="0.3">
      <c r="E281" s="195" t="str">
        <f>IF(Dades!E871="","",Dades!E871)</f>
        <v/>
      </c>
      <c r="F281" s="397">
        <f>(DSUM('1_Combustibles fósiles'!$E$17:$N$39,"emissions",'6.1_Resultados Illes Balears'!E$71:E281)/1000)-SUM(F$72:F280)</f>
        <v>0</v>
      </c>
      <c r="G281" s="397">
        <f>((DSUM('1_Combustibles fósiles'!$E$47:$U$67,"emissions1",'6.1_Resultados Illes Balears'!E$71:E281)+DSUM('1_Combustibles fósiles'!$E$47:$U$67,"emissions2",'6.1_Resultados Illes Balears'!E$71:E281))/1000)-SUM(G$72:G280)</f>
        <v>0</v>
      </c>
      <c r="H281" s="397">
        <f>(DSUM('2_Fluorados'!$E$11:$P$33,"emissions",'6.1_Resultados Illes Balears'!E$71:E281)/1000)-SUM(H$72:H280)</f>
        <v>0</v>
      </c>
      <c r="I281" s="503">
        <f>(DSUM('3_Emisiones proceso'!$E$13:$K$35,"emissions",'6.1_Resultados Illes Balears'!E$71:E281)/1000)-SUM(I$72:I280)</f>
        <v>0</v>
      </c>
      <c r="J281" s="503"/>
      <c r="K281" s="504">
        <f t="shared" si="6"/>
        <v>0</v>
      </c>
      <c r="L281" s="504"/>
      <c r="M281" s="504"/>
      <c r="N281" s="503">
        <f>((DSUM('4.1_Electricidad Illes Balears'!$E$20:$J$42,"emisiones",'6.1_Resultados Illes Balears'!E$71:E281)+DSUM('4.1_Electricidad Illes Balears'!$E$50:$K$70,"emisiones",'6.1_Resultados Illes Balears'!E$71:E281))/1000)-SUM(N$72:N280)</f>
        <v>0</v>
      </c>
      <c r="O281" s="504"/>
      <c r="P281" s="504">
        <f t="shared" si="7"/>
        <v>0</v>
      </c>
      <c r="Q281" s="504"/>
      <c r="R281" s="504"/>
    </row>
    <row r="282" spans="5:18" x14ac:dyDescent="0.3">
      <c r="E282" s="195" t="str">
        <f>IF(Dades!E872="","",Dades!E872)</f>
        <v/>
      </c>
      <c r="F282" s="397">
        <f>(DSUM('1_Combustibles fósiles'!$E$17:$N$39,"emissions",'6.1_Resultados Illes Balears'!E$71:E282)/1000)-SUM(F$72:F281)</f>
        <v>0</v>
      </c>
      <c r="G282" s="397">
        <f>((DSUM('1_Combustibles fósiles'!$E$47:$U$67,"emissions1",'6.1_Resultados Illes Balears'!E$71:E282)+DSUM('1_Combustibles fósiles'!$E$47:$U$67,"emissions2",'6.1_Resultados Illes Balears'!E$71:E282))/1000)-SUM(G$72:G281)</f>
        <v>0</v>
      </c>
      <c r="H282" s="397">
        <f>(DSUM('2_Fluorados'!$E$11:$P$33,"emissions",'6.1_Resultados Illes Balears'!E$71:E282)/1000)-SUM(H$72:H281)</f>
        <v>0</v>
      </c>
      <c r="I282" s="503">
        <f>(DSUM('3_Emisiones proceso'!$E$13:$K$35,"emissions",'6.1_Resultados Illes Balears'!E$71:E282)/1000)-SUM(I$72:I281)</f>
        <v>0</v>
      </c>
      <c r="J282" s="503"/>
      <c r="K282" s="504">
        <f t="shared" si="6"/>
        <v>0</v>
      </c>
      <c r="L282" s="504"/>
      <c r="M282" s="504"/>
      <c r="N282" s="503">
        <f>((DSUM('4.1_Electricidad Illes Balears'!$E$20:$J$42,"emisiones",'6.1_Resultados Illes Balears'!E$71:E282)+DSUM('4.1_Electricidad Illes Balears'!$E$50:$K$70,"emisiones",'6.1_Resultados Illes Balears'!E$71:E282))/1000)-SUM(N$72:N281)</f>
        <v>0</v>
      </c>
      <c r="O282" s="504"/>
      <c r="P282" s="504">
        <f t="shared" si="7"/>
        <v>0</v>
      </c>
      <c r="Q282" s="504"/>
      <c r="R282" s="504"/>
    </row>
    <row r="283" spans="5:18" x14ac:dyDescent="0.3">
      <c r="E283" s="195" t="str">
        <f>IF(Dades!E873="","",Dades!E873)</f>
        <v/>
      </c>
      <c r="F283" s="397">
        <f>(DSUM('1_Combustibles fósiles'!$E$17:$N$39,"emissions",'6.1_Resultados Illes Balears'!E$71:E283)/1000)-SUM(F$72:F282)</f>
        <v>0</v>
      </c>
      <c r="G283" s="397">
        <f>((DSUM('1_Combustibles fósiles'!$E$47:$U$67,"emissions1",'6.1_Resultados Illes Balears'!E$71:E283)+DSUM('1_Combustibles fósiles'!$E$47:$U$67,"emissions2",'6.1_Resultados Illes Balears'!E$71:E283))/1000)-SUM(G$72:G282)</f>
        <v>0</v>
      </c>
      <c r="H283" s="397">
        <f>(DSUM('2_Fluorados'!$E$11:$P$33,"emissions",'6.1_Resultados Illes Balears'!E$71:E283)/1000)-SUM(H$72:H282)</f>
        <v>0</v>
      </c>
      <c r="I283" s="503">
        <f>(DSUM('3_Emisiones proceso'!$E$13:$K$35,"emissions",'6.1_Resultados Illes Balears'!E$71:E283)/1000)-SUM(I$72:I282)</f>
        <v>0</v>
      </c>
      <c r="J283" s="503"/>
      <c r="K283" s="504">
        <f t="shared" si="6"/>
        <v>0</v>
      </c>
      <c r="L283" s="504"/>
      <c r="M283" s="504"/>
      <c r="N283" s="503">
        <f>((DSUM('4.1_Electricidad Illes Balears'!$E$20:$J$42,"emisiones",'6.1_Resultados Illes Balears'!E$71:E283)+DSUM('4.1_Electricidad Illes Balears'!$E$50:$K$70,"emisiones",'6.1_Resultados Illes Balears'!E$71:E283))/1000)-SUM(N$72:N282)</f>
        <v>0</v>
      </c>
      <c r="O283" s="504"/>
      <c r="P283" s="504">
        <f t="shared" si="7"/>
        <v>0</v>
      </c>
      <c r="Q283" s="504"/>
      <c r="R283" s="504"/>
    </row>
    <row r="284" spans="5:18" x14ac:dyDescent="0.3">
      <c r="E284" s="195" t="str">
        <f>IF(Dades!E874="","",Dades!E874)</f>
        <v/>
      </c>
      <c r="F284" s="397">
        <f>(DSUM('1_Combustibles fósiles'!$E$17:$N$39,"emissions",'6.1_Resultados Illes Balears'!E$71:E284)/1000)-SUM(F$72:F283)</f>
        <v>0</v>
      </c>
      <c r="G284" s="397">
        <f>((DSUM('1_Combustibles fósiles'!$E$47:$U$67,"emissions1",'6.1_Resultados Illes Balears'!E$71:E284)+DSUM('1_Combustibles fósiles'!$E$47:$U$67,"emissions2",'6.1_Resultados Illes Balears'!E$71:E284))/1000)-SUM(G$72:G283)</f>
        <v>0</v>
      </c>
      <c r="H284" s="397">
        <f>(DSUM('2_Fluorados'!$E$11:$P$33,"emissions",'6.1_Resultados Illes Balears'!E$71:E284)/1000)-SUM(H$72:H283)</f>
        <v>0</v>
      </c>
      <c r="I284" s="503">
        <f>(DSUM('3_Emisiones proceso'!$E$13:$K$35,"emissions",'6.1_Resultados Illes Balears'!E$71:E284)/1000)-SUM(I$72:I283)</f>
        <v>0</v>
      </c>
      <c r="J284" s="503"/>
      <c r="K284" s="504">
        <f t="shared" si="6"/>
        <v>0</v>
      </c>
      <c r="L284" s="504"/>
      <c r="M284" s="504"/>
      <c r="N284" s="503">
        <f>((DSUM('4.1_Electricidad Illes Balears'!$E$20:$J$42,"emisiones",'6.1_Resultados Illes Balears'!E$71:E284)+DSUM('4.1_Electricidad Illes Balears'!$E$50:$K$70,"emisiones",'6.1_Resultados Illes Balears'!E$71:E284))/1000)-SUM(N$72:N283)</f>
        <v>0</v>
      </c>
      <c r="O284" s="504"/>
      <c r="P284" s="504">
        <f t="shared" si="7"/>
        <v>0</v>
      </c>
      <c r="Q284" s="504"/>
      <c r="R284" s="504"/>
    </row>
    <row r="285" spans="5:18" x14ac:dyDescent="0.3">
      <c r="E285" s="195" t="str">
        <f>IF(Dades!E875="","",Dades!E875)</f>
        <v/>
      </c>
      <c r="F285" s="397">
        <f>(DSUM('1_Combustibles fósiles'!$E$17:$N$39,"emissions",'6.1_Resultados Illes Balears'!E$71:E285)/1000)-SUM(F$72:F284)</f>
        <v>0</v>
      </c>
      <c r="G285" s="397">
        <f>((DSUM('1_Combustibles fósiles'!$E$47:$U$67,"emissions1",'6.1_Resultados Illes Balears'!E$71:E285)+DSUM('1_Combustibles fósiles'!$E$47:$U$67,"emissions2",'6.1_Resultados Illes Balears'!E$71:E285))/1000)-SUM(G$72:G284)</f>
        <v>0</v>
      </c>
      <c r="H285" s="397">
        <f>(DSUM('2_Fluorados'!$E$11:$P$33,"emissions",'6.1_Resultados Illes Balears'!E$71:E285)/1000)-SUM(H$72:H284)</f>
        <v>0</v>
      </c>
      <c r="I285" s="503">
        <f>(DSUM('3_Emisiones proceso'!$E$13:$K$35,"emissions",'6.1_Resultados Illes Balears'!E$71:E285)/1000)-SUM(I$72:I284)</f>
        <v>0</v>
      </c>
      <c r="J285" s="503"/>
      <c r="K285" s="504">
        <f t="shared" si="6"/>
        <v>0</v>
      </c>
      <c r="L285" s="504"/>
      <c r="M285" s="504"/>
      <c r="N285" s="503">
        <f>((DSUM('4.1_Electricidad Illes Balears'!$E$20:$J$42,"emisiones",'6.1_Resultados Illes Balears'!E$71:E285)+DSUM('4.1_Electricidad Illes Balears'!$E$50:$K$70,"emisiones",'6.1_Resultados Illes Balears'!E$71:E285))/1000)-SUM(N$72:N284)</f>
        <v>0</v>
      </c>
      <c r="O285" s="504"/>
      <c r="P285" s="504">
        <f t="shared" si="7"/>
        <v>0</v>
      </c>
      <c r="Q285" s="504"/>
      <c r="R285" s="504"/>
    </row>
    <row r="286" spans="5:18" x14ac:dyDescent="0.3">
      <c r="E286" s="195" t="str">
        <f>IF(Dades!E876="","",Dades!E876)</f>
        <v/>
      </c>
      <c r="F286" s="397">
        <f>(DSUM('1_Combustibles fósiles'!$E$17:$N$39,"emissions",'6.1_Resultados Illes Balears'!E$71:E286)/1000)-SUM(F$72:F285)</f>
        <v>0</v>
      </c>
      <c r="G286" s="397">
        <f>((DSUM('1_Combustibles fósiles'!$E$47:$U$67,"emissions1",'6.1_Resultados Illes Balears'!E$71:E286)+DSUM('1_Combustibles fósiles'!$E$47:$U$67,"emissions2",'6.1_Resultados Illes Balears'!E$71:E286))/1000)-SUM(G$72:G285)</f>
        <v>0</v>
      </c>
      <c r="H286" s="397">
        <f>(DSUM('2_Fluorados'!$E$11:$P$33,"emissions",'6.1_Resultados Illes Balears'!E$71:E286)/1000)-SUM(H$72:H285)</f>
        <v>0</v>
      </c>
      <c r="I286" s="503">
        <f>(DSUM('3_Emisiones proceso'!$E$13:$K$35,"emissions",'6.1_Resultados Illes Balears'!E$71:E286)/1000)-SUM(I$72:I285)</f>
        <v>0</v>
      </c>
      <c r="J286" s="503"/>
      <c r="K286" s="504">
        <f t="shared" si="6"/>
        <v>0</v>
      </c>
      <c r="L286" s="504"/>
      <c r="M286" s="504"/>
      <c r="N286" s="503">
        <f>((DSUM('4.1_Electricidad Illes Balears'!$E$20:$J$42,"emisiones",'6.1_Resultados Illes Balears'!E$71:E286)+DSUM('4.1_Electricidad Illes Balears'!$E$50:$K$70,"emisiones",'6.1_Resultados Illes Balears'!E$71:E286))/1000)-SUM(N$72:N285)</f>
        <v>0</v>
      </c>
      <c r="O286" s="504"/>
      <c r="P286" s="504">
        <f t="shared" si="7"/>
        <v>0</v>
      </c>
      <c r="Q286" s="504"/>
      <c r="R286" s="504"/>
    </row>
    <row r="287" spans="5:18" x14ac:dyDescent="0.3">
      <c r="E287" s="195" t="str">
        <f>IF(Dades!E877="","",Dades!E877)</f>
        <v/>
      </c>
      <c r="F287" s="397">
        <f>(DSUM('1_Combustibles fósiles'!$E$17:$N$39,"emissions",'6.1_Resultados Illes Balears'!E$71:E287)/1000)-SUM(F$72:F286)</f>
        <v>0</v>
      </c>
      <c r="G287" s="397">
        <f>((DSUM('1_Combustibles fósiles'!$E$47:$U$67,"emissions1",'6.1_Resultados Illes Balears'!E$71:E287)+DSUM('1_Combustibles fósiles'!$E$47:$U$67,"emissions2",'6.1_Resultados Illes Balears'!E$71:E287))/1000)-SUM(G$72:G286)</f>
        <v>0</v>
      </c>
      <c r="H287" s="397">
        <f>(DSUM('2_Fluorados'!$E$11:$P$33,"emissions",'6.1_Resultados Illes Balears'!E$71:E287)/1000)-SUM(H$72:H286)</f>
        <v>0</v>
      </c>
      <c r="I287" s="503">
        <f>(DSUM('3_Emisiones proceso'!$E$13:$K$35,"emissions",'6.1_Resultados Illes Balears'!E$71:E287)/1000)-SUM(I$72:I286)</f>
        <v>0</v>
      </c>
      <c r="J287" s="503"/>
      <c r="K287" s="504">
        <f t="shared" si="6"/>
        <v>0</v>
      </c>
      <c r="L287" s="504"/>
      <c r="M287" s="504"/>
      <c r="N287" s="503">
        <f>((DSUM('4.1_Electricidad Illes Balears'!$E$20:$J$42,"emisiones",'6.1_Resultados Illes Balears'!E$71:E287)+DSUM('4.1_Electricidad Illes Balears'!$E$50:$K$70,"emisiones",'6.1_Resultados Illes Balears'!E$71:E287))/1000)-SUM(N$72:N286)</f>
        <v>0</v>
      </c>
      <c r="O287" s="504"/>
      <c r="P287" s="504">
        <f t="shared" si="7"/>
        <v>0</v>
      </c>
      <c r="Q287" s="504"/>
      <c r="R287" s="504"/>
    </row>
    <row r="288" spans="5:18" x14ac:dyDescent="0.3">
      <c r="E288" s="195" t="str">
        <f>IF(Dades!E878="","",Dades!E878)</f>
        <v/>
      </c>
      <c r="F288" s="397">
        <f>(DSUM('1_Combustibles fósiles'!$E$17:$N$39,"emissions",'6.1_Resultados Illes Balears'!E$71:E288)/1000)-SUM(F$72:F287)</f>
        <v>0</v>
      </c>
      <c r="G288" s="397">
        <f>((DSUM('1_Combustibles fósiles'!$E$47:$U$67,"emissions1",'6.1_Resultados Illes Balears'!E$71:E288)+DSUM('1_Combustibles fósiles'!$E$47:$U$67,"emissions2",'6.1_Resultados Illes Balears'!E$71:E288))/1000)-SUM(G$72:G287)</f>
        <v>0</v>
      </c>
      <c r="H288" s="397">
        <f>(DSUM('2_Fluorados'!$E$11:$P$33,"emissions",'6.1_Resultados Illes Balears'!E$71:E288)/1000)-SUM(H$72:H287)</f>
        <v>0</v>
      </c>
      <c r="I288" s="503">
        <f>(DSUM('3_Emisiones proceso'!$E$13:$K$35,"emissions",'6.1_Resultados Illes Balears'!E$71:E288)/1000)-SUM(I$72:I287)</f>
        <v>0</v>
      </c>
      <c r="J288" s="503"/>
      <c r="K288" s="504">
        <f t="shared" si="6"/>
        <v>0</v>
      </c>
      <c r="L288" s="504"/>
      <c r="M288" s="504"/>
      <c r="N288" s="503">
        <f>((DSUM('4.1_Electricidad Illes Balears'!$E$20:$J$42,"emisiones",'6.1_Resultados Illes Balears'!E$71:E288)+DSUM('4.1_Electricidad Illes Balears'!$E$50:$K$70,"emisiones",'6.1_Resultados Illes Balears'!E$71:E288))/1000)-SUM(N$72:N287)</f>
        <v>0</v>
      </c>
      <c r="O288" s="504"/>
      <c r="P288" s="504">
        <f t="shared" si="7"/>
        <v>0</v>
      </c>
      <c r="Q288" s="504"/>
      <c r="R288" s="504"/>
    </row>
    <row r="289" spans="5:18" x14ac:dyDescent="0.3">
      <c r="E289" s="195" t="str">
        <f>IF(Dades!E879="","",Dades!E879)</f>
        <v/>
      </c>
      <c r="F289" s="397">
        <f>(DSUM('1_Combustibles fósiles'!$E$17:$N$39,"emissions",'6.1_Resultados Illes Balears'!E$71:E289)/1000)-SUM(F$72:F288)</f>
        <v>0</v>
      </c>
      <c r="G289" s="397">
        <f>((DSUM('1_Combustibles fósiles'!$E$47:$U$67,"emissions1",'6.1_Resultados Illes Balears'!E$71:E289)+DSUM('1_Combustibles fósiles'!$E$47:$U$67,"emissions2",'6.1_Resultados Illes Balears'!E$71:E289))/1000)-SUM(G$72:G288)</f>
        <v>0</v>
      </c>
      <c r="H289" s="397">
        <f>(DSUM('2_Fluorados'!$E$11:$P$33,"emissions",'6.1_Resultados Illes Balears'!E$71:E289)/1000)-SUM(H$72:H288)</f>
        <v>0</v>
      </c>
      <c r="I289" s="503">
        <f>(DSUM('3_Emisiones proceso'!$E$13:$K$35,"emissions",'6.1_Resultados Illes Balears'!E$71:E289)/1000)-SUM(I$72:I288)</f>
        <v>0</v>
      </c>
      <c r="J289" s="503"/>
      <c r="K289" s="504">
        <f t="shared" si="6"/>
        <v>0</v>
      </c>
      <c r="L289" s="504"/>
      <c r="M289" s="504"/>
      <c r="N289" s="503">
        <f>((DSUM('4.1_Electricidad Illes Balears'!$E$20:$J$42,"emisiones",'6.1_Resultados Illes Balears'!E$71:E289)+DSUM('4.1_Electricidad Illes Balears'!$E$50:$K$70,"emisiones",'6.1_Resultados Illes Balears'!E$71:E289))/1000)-SUM(N$72:N288)</f>
        <v>0</v>
      </c>
      <c r="O289" s="504"/>
      <c r="P289" s="504">
        <f t="shared" si="7"/>
        <v>0</v>
      </c>
      <c r="Q289" s="504"/>
      <c r="R289" s="504"/>
    </row>
    <row r="290" spans="5:18" x14ac:dyDescent="0.3">
      <c r="E290" s="195" t="str">
        <f>IF(Dades!E880="","",Dades!E880)</f>
        <v/>
      </c>
      <c r="F290" s="397">
        <f>(DSUM('1_Combustibles fósiles'!$E$17:$N$39,"emissions",'6.1_Resultados Illes Balears'!E$71:E290)/1000)-SUM(F$72:F289)</f>
        <v>0</v>
      </c>
      <c r="G290" s="397">
        <f>((DSUM('1_Combustibles fósiles'!$E$47:$U$67,"emissions1",'6.1_Resultados Illes Balears'!E$71:E290)+DSUM('1_Combustibles fósiles'!$E$47:$U$67,"emissions2",'6.1_Resultados Illes Balears'!E$71:E290))/1000)-SUM(G$72:G289)</f>
        <v>0</v>
      </c>
      <c r="H290" s="397">
        <f>(DSUM('2_Fluorados'!$E$11:$P$33,"emissions",'6.1_Resultados Illes Balears'!E$71:E290)/1000)-SUM(H$72:H289)</f>
        <v>0</v>
      </c>
      <c r="I290" s="503">
        <f>(DSUM('3_Emisiones proceso'!$E$13:$K$35,"emissions",'6.1_Resultados Illes Balears'!E$71:E290)/1000)-SUM(I$72:I289)</f>
        <v>0</v>
      </c>
      <c r="J290" s="503"/>
      <c r="K290" s="504">
        <f t="shared" si="6"/>
        <v>0</v>
      </c>
      <c r="L290" s="504"/>
      <c r="M290" s="504"/>
      <c r="N290" s="503">
        <f>((DSUM('4.1_Electricidad Illes Balears'!$E$20:$J$42,"emisiones",'6.1_Resultados Illes Balears'!E$71:E290)+DSUM('4.1_Electricidad Illes Balears'!$E$50:$K$70,"emisiones",'6.1_Resultados Illes Balears'!E$71:E290))/1000)-SUM(N$72:N289)</f>
        <v>0</v>
      </c>
      <c r="O290" s="504"/>
      <c r="P290" s="504">
        <f t="shared" si="7"/>
        <v>0</v>
      </c>
      <c r="Q290" s="504"/>
      <c r="R290" s="504"/>
    </row>
    <row r="291" spans="5:18" x14ac:dyDescent="0.3">
      <c r="E291" s="195" t="str">
        <f>IF(Dades!E881="","",Dades!E881)</f>
        <v/>
      </c>
      <c r="F291" s="397">
        <f>(DSUM('1_Combustibles fósiles'!$E$17:$N$39,"emissions",'6.1_Resultados Illes Balears'!E$71:E291)/1000)-SUM(F$72:F290)</f>
        <v>0</v>
      </c>
      <c r="G291" s="397">
        <f>((DSUM('1_Combustibles fósiles'!$E$47:$U$67,"emissions1",'6.1_Resultados Illes Balears'!E$71:E291)+DSUM('1_Combustibles fósiles'!$E$47:$U$67,"emissions2",'6.1_Resultados Illes Balears'!E$71:E291))/1000)-SUM(G$72:G290)</f>
        <v>0</v>
      </c>
      <c r="H291" s="397">
        <f>(DSUM('2_Fluorados'!$E$11:$P$33,"emissions",'6.1_Resultados Illes Balears'!E$71:E291)/1000)-SUM(H$72:H290)</f>
        <v>0</v>
      </c>
      <c r="I291" s="503">
        <f>(DSUM('3_Emisiones proceso'!$E$13:$K$35,"emissions",'6.1_Resultados Illes Balears'!E$71:E291)/1000)-SUM(I$72:I290)</f>
        <v>0</v>
      </c>
      <c r="J291" s="503"/>
      <c r="K291" s="504">
        <f t="shared" si="6"/>
        <v>0</v>
      </c>
      <c r="L291" s="504"/>
      <c r="M291" s="504"/>
      <c r="N291" s="503">
        <f>((DSUM('4.1_Electricidad Illes Balears'!$E$20:$J$42,"emisiones",'6.1_Resultados Illes Balears'!E$71:E291)+DSUM('4.1_Electricidad Illes Balears'!$E$50:$K$70,"emisiones",'6.1_Resultados Illes Balears'!E$71:E291))/1000)-SUM(N$72:N290)</f>
        <v>0</v>
      </c>
      <c r="O291" s="504"/>
      <c r="P291" s="504">
        <f t="shared" si="7"/>
        <v>0</v>
      </c>
      <c r="Q291" s="504"/>
      <c r="R291" s="504"/>
    </row>
    <row r="292" spans="5:18" x14ac:dyDescent="0.3">
      <c r="E292" s="195" t="str">
        <f>IF(Dades!E882="","",Dades!E882)</f>
        <v/>
      </c>
      <c r="F292" s="397">
        <f>(DSUM('1_Combustibles fósiles'!$E$17:$N$39,"emissions",'6.1_Resultados Illes Balears'!E$71:E292)/1000)-SUM(F$72:F291)</f>
        <v>0</v>
      </c>
      <c r="G292" s="397">
        <f>((DSUM('1_Combustibles fósiles'!$E$47:$U$67,"emissions1",'6.1_Resultados Illes Balears'!E$71:E292)+DSUM('1_Combustibles fósiles'!$E$47:$U$67,"emissions2",'6.1_Resultados Illes Balears'!E$71:E292))/1000)-SUM(G$72:G291)</f>
        <v>0</v>
      </c>
      <c r="H292" s="397">
        <f>(DSUM('2_Fluorados'!$E$11:$P$33,"emissions",'6.1_Resultados Illes Balears'!E$71:E292)/1000)-SUM(H$72:H291)</f>
        <v>0</v>
      </c>
      <c r="I292" s="503">
        <f>(DSUM('3_Emisiones proceso'!$E$13:$K$35,"emissions",'6.1_Resultados Illes Balears'!E$71:E292)/1000)-SUM(I$72:I291)</f>
        <v>0</v>
      </c>
      <c r="J292" s="503"/>
      <c r="K292" s="504">
        <f t="shared" si="6"/>
        <v>0</v>
      </c>
      <c r="L292" s="504"/>
      <c r="M292" s="504"/>
      <c r="N292" s="503">
        <f>((DSUM('4.1_Electricidad Illes Balears'!$E$20:$J$42,"emisiones",'6.1_Resultados Illes Balears'!E$71:E292)+DSUM('4.1_Electricidad Illes Balears'!$E$50:$K$70,"emisiones",'6.1_Resultados Illes Balears'!E$71:E292))/1000)-SUM(N$72:N291)</f>
        <v>0</v>
      </c>
      <c r="O292" s="504"/>
      <c r="P292" s="504">
        <f t="shared" si="7"/>
        <v>0</v>
      </c>
      <c r="Q292" s="504"/>
      <c r="R292" s="504"/>
    </row>
    <row r="293" spans="5:18" x14ac:dyDescent="0.3">
      <c r="E293" s="195" t="str">
        <f>IF(Dades!E883="","",Dades!E883)</f>
        <v/>
      </c>
      <c r="F293" s="397">
        <f>(DSUM('1_Combustibles fósiles'!$E$17:$N$39,"emissions",'6.1_Resultados Illes Balears'!E$71:E293)/1000)-SUM(F$72:F292)</f>
        <v>0</v>
      </c>
      <c r="G293" s="397">
        <f>((DSUM('1_Combustibles fósiles'!$E$47:$U$67,"emissions1",'6.1_Resultados Illes Balears'!E$71:E293)+DSUM('1_Combustibles fósiles'!$E$47:$U$67,"emissions2",'6.1_Resultados Illes Balears'!E$71:E293))/1000)-SUM(G$72:G292)</f>
        <v>0</v>
      </c>
      <c r="H293" s="397">
        <f>(DSUM('2_Fluorados'!$E$11:$P$33,"emissions",'6.1_Resultados Illes Balears'!E$71:E293)/1000)-SUM(H$72:H292)</f>
        <v>0</v>
      </c>
      <c r="I293" s="503">
        <f>(DSUM('3_Emisiones proceso'!$E$13:$K$35,"emissions",'6.1_Resultados Illes Balears'!E$71:E293)/1000)-SUM(I$72:I292)</f>
        <v>0</v>
      </c>
      <c r="J293" s="503"/>
      <c r="K293" s="504">
        <f t="shared" si="6"/>
        <v>0</v>
      </c>
      <c r="L293" s="504"/>
      <c r="M293" s="504"/>
      <c r="N293" s="503">
        <f>((DSUM('4.1_Electricidad Illes Balears'!$E$20:$J$42,"emisiones",'6.1_Resultados Illes Balears'!E$71:E293)+DSUM('4.1_Electricidad Illes Balears'!$E$50:$K$70,"emisiones",'6.1_Resultados Illes Balears'!E$71:E293))/1000)-SUM(N$72:N292)</f>
        <v>0</v>
      </c>
      <c r="O293" s="504"/>
      <c r="P293" s="504">
        <f t="shared" si="7"/>
        <v>0</v>
      </c>
      <c r="Q293" s="504"/>
      <c r="R293" s="504"/>
    </row>
    <row r="294" spans="5:18" x14ac:dyDescent="0.3">
      <c r="E294" s="195" t="str">
        <f>IF(Dades!E884="","",Dades!E884)</f>
        <v/>
      </c>
      <c r="F294" s="397">
        <f>(DSUM('1_Combustibles fósiles'!$E$17:$N$39,"emissions",'6.1_Resultados Illes Balears'!E$71:E294)/1000)-SUM(F$72:F293)</f>
        <v>0</v>
      </c>
      <c r="G294" s="397">
        <f>((DSUM('1_Combustibles fósiles'!$E$47:$U$67,"emissions1",'6.1_Resultados Illes Balears'!E$71:E294)+DSUM('1_Combustibles fósiles'!$E$47:$U$67,"emissions2",'6.1_Resultados Illes Balears'!E$71:E294))/1000)-SUM(G$72:G293)</f>
        <v>0</v>
      </c>
      <c r="H294" s="397">
        <f>(DSUM('2_Fluorados'!$E$11:$P$33,"emissions",'6.1_Resultados Illes Balears'!E$71:E294)/1000)-SUM(H$72:H293)</f>
        <v>0</v>
      </c>
      <c r="I294" s="503">
        <f>(DSUM('3_Emisiones proceso'!$E$13:$K$35,"emissions",'6.1_Resultados Illes Balears'!E$71:E294)/1000)-SUM(I$72:I293)</f>
        <v>0</v>
      </c>
      <c r="J294" s="503"/>
      <c r="K294" s="504">
        <f t="shared" si="6"/>
        <v>0</v>
      </c>
      <c r="L294" s="504"/>
      <c r="M294" s="504"/>
      <c r="N294" s="503">
        <f>((DSUM('4.1_Electricidad Illes Balears'!$E$20:$J$42,"emisiones",'6.1_Resultados Illes Balears'!E$71:E294)+DSUM('4.1_Electricidad Illes Balears'!$E$50:$K$70,"emisiones",'6.1_Resultados Illes Balears'!E$71:E294))/1000)-SUM(N$72:N293)</f>
        <v>0</v>
      </c>
      <c r="O294" s="504"/>
      <c r="P294" s="504">
        <f t="shared" si="7"/>
        <v>0</v>
      </c>
      <c r="Q294" s="504"/>
      <c r="R294" s="504"/>
    </row>
    <row r="295" spans="5:18" x14ac:dyDescent="0.3">
      <c r="E295" s="195" t="str">
        <f>IF(Dades!E885="","",Dades!E885)</f>
        <v/>
      </c>
      <c r="F295" s="397">
        <f>(DSUM('1_Combustibles fósiles'!$E$17:$N$39,"emissions",'6.1_Resultados Illes Balears'!E$71:E295)/1000)-SUM(F$72:F294)</f>
        <v>0</v>
      </c>
      <c r="G295" s="397">
        <f>((DSUM('1_Combustibles fósiles'!$E$47:$U$67,"emissions1",'6.1_Resultados Illes Balears'!E$71:E295)+DSUM('1_Combustibles fósiles'!$E$47:$U$67,"emissions2",'6.1_Resultados Illes Balears'!E$71:E295))/1000)-SUM(G$72:G294)</f>
        <v>0</v>
      </c>
      <c r="H295" s="397">
        <f>(DSUM('2_Fluorados'!$E$11:$P$33,"emissions",'6.1_Resultados Illes Balears'!E$71:E295)/1000)-SUM(H$72:H294)</f>
        <v>0</v>
      </c>
      <c r="I295" s="503">
        <f>(DSUM('3_Emisiones proceso'!$E$13:$K$35,"emissions",'6.1_Resultados Illes Balears'!E$71:E295)/1000)-SUM(I$72:I294)</f>
        <v>0</v>
      </c>
      <c r="J295" s="503"/>
      <c r="K295" s="504">
        <f t="shared" si="6"/>
        <v>0</v>
      </c>
      <c r="L295" s="504"/>
      <c r="M295" s="504"/>
      <c r="N295" s="503">
        <f>((DSUM('4.1_Electricidad Illes Balears'!$E$20:$J$42,"emisiones",'6.1_Resultados Illes Balears'!E$71:E295)+DSUM('4.1_Electricidad Illes Balears'!$E$50:$K$70,"emisiones",'6.1_Resultados Illes Balears'!E$71:E295))/1000)-SUM(N$72:N294)</f>
        <v>0</v>
      </c>
      <c r="O295" s="504"/>
      <c r="P295" s="504">
        <f t="shared" si="7"/>
        <v>0</v>
      </c>
      <c r="Q295" s="504"/>
      <c r="R295" s="504"/>
    </row>
    <row r="296" spans="5:18" x14ac:dyDescent="0.3">
      <c r="E296" s="195" t="str">
        <f>IF(Dades!E886="","",Dades!E886)</f>
        <v/>
      </c>
      <c r="F296" s="397">
        <f>(DSUM('1_Combustibles fósiles'!$E$17:$N$39,"emissions",'6.1_Resultados Illes Balears'!E$71:E296)/1000)-SUM(F$72:F295)</f>
        <v>0</v>
      </c>
      <c r="G296" s="397">
        <f>((DSUM('1_Combustibles fósiles'!$E$47:$U$67,"emissions1",'6.1_Resultados Illes Balears'!E$71:E296)+DSUM('1_Combustibles fósiles'!$E$47:$U$67,"emissions2",'6.1_Resultados Illes Balears'!E$71:E296))/1000)-SUM(G$72:G295)</f>
        <v>0</v>
      </c>
      <c r="H296" s="397">
        <f>(DSUM('2_Fluorados'!$E$11:$P$33,"emissions",'6.1_Resultados Illes Balears'!E$71:E296)/1000)-SUM(H$72:H295)</f>
        <v>0</v>
      </c>
      <c r="I296" s="503">
        <f>(DSUM('3_Emisiones proceso'!$E$13:$K$35,"emissions",'6.1_Resultados Illes Balears'!E$71:E296)/1000)-SUM(I$72:I295)</f>
        <v>0</v>
      </c>
      <c r="J296" s="503"/>
      <c r="K296" s="504">
        <f t="shared" si="6"/>
        <v>0</v>
      </c>
      <c r="L296" s="504"/>
      <c r="M296" s="504"/>
      <c r="N296" s="503">
        <f>((DSUM('4.1_Electricidad Illes Balears'!$E$20:$J$42,"emisiones",'6.1_Resultados Illes Balears'!E$71:E296)+DSUM('4.1_Electricidad Illes Balears'!$E$50:$K$70,"emisiones",'6.1_Resultados Illes Balears'!E$71:E296))/1000)-SUM(N$72:N295)</f>
        <v>0</v>
      </c>
      <c r="O296" s="504"/>
      <c r="P296" s="504">
        <f t="shared" si="7"/>
        <v>0</v>
      </c>
      <c r="Q296" s="504"/>
      <c r="R296" s="504"/>
    </row>
    <row r="297" spans="5:18" x14ac:dyDescent="0.3">
      <c r="E297" s="195" t="str">
        <f>IF(Dades!E887="","",Dades!E887)</f>
        <v/>
      </c>
      <c r="F297" s="397">
        <f>(DSUM('1_Combustibles fósiles'!$E$17:$N$39,"emissions",'6.1_Resultados Illes Balears'!E$71:E297)/1000)-SUM(F$72:F296)</f>
        <v>0</v>
      </c>
      <c r="G297" s="397">
        <f>((DSUM('1_Combustibles fósiles'!$E$47:$U$67,"emissions1",'6.1_Resultados Illes Balears'!E$71:E297)+DSUM('1_Combustibles fósiles'!$E$47:$U$67,"emissions2",'6.1_Resultados Illes Balears'!E$71:E297))/1000)-SUM(G$72:G296)</f>
        <v>0</v>
      </c>
      <c r="H297" s="397">
        <f>(DSUM('2_Fluorados'!$E$11:$P$33,"emissions",'6.1_Resultados Illes Balears'!E$71:E297)/1000)-SUM(H$72:H296)</f>
        <v>0</v>
      </c>
      <c r="I297" s="503">
        <f>(DSUM('3_Emisiones proceso'!$E$13:$K$35,"emissions",'6.1_Resultados Illes Balears'!E$71:E297)/1000)-SUM(I$72:I296)</f>
        <v>0</v>
      </c>
      <c r="J297" s="503"/>
      <c r="K297" s="504">
        <f t="shared" si="6"/>
        <v>0</v>
      </c>
      <c r="L297" s="504"/>
      <c r="M297" s="504"/>
      <c r="N297" s="503">
        <f>((DSUM('4.1_Electricidad Illes Balears'!$E$20:$J$42,"emisiones",'6.1_Resultados Illes Balears'!E$71:E297)+DSUM('4.1_Electricidad Illes Balears'!$E$50:$K$70,"emisiones",'6.1_Resultados Illes Balears'!E$71:E297))/1000)-SUM(N$72:N296)</f>
        <v>0</v>
      </c>
      <c r="O297" s="504"/>
      <c r="P297" s="504">
        <f t="shared" si="7"/>
        <v>0</v>
      </c>
      <c r="Q297" s="504"/>
      <c r="R297" s="504"/>
    </row>
    <row r="298" spans="5:18" x14ac:dyDescent="0.3">
      <c r="E298" s="195" t="str">
        <f>IF(Dades!E888="","",Dades!E888)</f>
        <v/>
      </c>
      <c r="F298" s="397">
        <f>(DSUM('1_Combustibles fósiles'!$E$17:$N$39,"emissions",'6.1_Resultados Illes Balears'!E$71:E298)/1000)-SUM(F$72:F297)</f>
        <v>0</v>
      </c>
      <c r="G298" s="397">
        <f>((DSUM('1_Combustibles fósiles'!$E$47:$U$67,"emissions1",'6.1_Resultados Illes Balears'!E$71:E298)+DSUM('1_Combustibles fósiles'!$E$47:$U$67,"emissions2",'6.1_Resultados Illes Balears'!E$71:E298))/1000)-SUM(G$72:G297)</f>
        <v>0</v>
      </c>
      <c r="H298" s="397">
        <f>(DSUM('2_Fluorados'!$E$11:$P$33,"emissions",'6.1_Resultados Illes Balears'!E$71:E298)/1000)-SUM(H$72:H297)</f>
        <v>0</v>
      </c>
      <c r="I298" s="503">
        <f>(DSUM('3_Emisiones proceso'!$E$13:$K$35,"emissions",'6.1_Resultados Illes Balears'!E$71:E298)/1000)-SUM(I$72:I297)</f>
        <v>0</v>
      </c>
      <c r="J298" s="503"/>
      <c r="K298" s="504">
        <f t="shared" si="6"/>
        <v>0</v>
      </c>
      <c r="L298" s="504"/>
      <c r="M298" s="504"/>
      <c r="N298" s="503">
        <f>((DSUM('4.1_Electricidad Illes Balears'!$E$20:$J$42,"emisiones",'6.1_Resultados Illes Balears'!E$71:E298)+DSUM('4.1_Electricidad Illes Balears'!$E$50:$K$70,"emisiones",'6.1_Resultados Illes Balears'!E$71:E298))/1000)-SUM(N$72:N297)</f>
        <v>0</v>
      </c>
      <c r="O298" s="504"/>
      <c r="P298" s="504">
        <f t="shared" si="7"/>
        <v>0</v>
      </c>
      <c r="Q298" s="504"/>
      <c r="R298" s="504"/>
    </row>
    <row r="299" spans="5:18" x14ac:dyDescent="0.3">
      <c r="E299" s="195" t="str">
        <f>IF(Dades!E889="","",Dades!E889)</f>
        <v/>
      </c>
      <c r="F299" s="397">
        <f>(DSUM('1_Combustibles fósiles'!$E$17:$N$39,"emissions",'6.1_Resultados Illes Balears'!E$71:E299)/1000)-SUM(F$72:F298)</f>
        <v>0</v>
      </c>
      <c r="G299" s="397">
        <f>((DSUM('1_Combustibles fósiles'!$E$47:$U$67,"emissions1",'6.1_Resultados Illes Balears'!E$71:E299)+DSUM('1_Combustibles fósiles'!$E$47:$U$67,"emissions2",'6.1_Resultados Illes Balears'!E$71:E299))/1000)-SUM(G$72:G298)</f>
        <v>0</v>
      </c>
      <c r="H299" s="397">
        <f>(DSUM('2_Fluorados'!$E$11:$P$33,"emissions",'6.1_Resultados Illes Balears'!E$71:E299)/1000)-SUM(H$72:H298)</f>
        <v>0</v>
      </c>
      <c r="I299" s="503">
        <f>(DSUM('3_Emisiones proceso'!$E$13:$K$35,"emissions",'6.1_Resultados Illes Balears'!E$71:E299)/1000)-SUM(I$72:I298)</f>
        <v>0</v>
      </c>
      <c r="J299" s="503"/>
      <c r="K299" s="504">
        <f t="shared" si="6"/>
        <v>0</v>
      </c>
      <c r="L299" s="504"/>
      <c r="M299" s="504"/>
      <c r="N299" s="503">
        <f>((DSUM('4.1_Electricidad Illes Balears'!$E$20:$J$42,"emisiones",'6.1_Resultados Illes Balears'!E$71:E299)+DSUM('4.1_Electricidad Illes Balears'!$E$50:$K$70,"emisiones",'6.1_Resultados Illes Balears'!E$71:E299))/1000)-SUM(N$72:N298)</f>
        <v>0</v>
      </c>
      <c r="O299" s="504"/>
      <c r="P299" s="504">
        <f t="shared" si="7"/>
        <v>0</v>
      </c>
      <c r="Q299" s="504"/>
      <c r="R299" s="504"/>
    </row>
    <row r="300" spans="5:18" x14ac:dyDescent="0.3">
      <c r="E300" s="195" t="str">
        <f>IF(Dades!E890="","",Dades!E890)</f>
        <v/>
      </c>
      <c r="F300" s="397">
        <f>(DSUM('1_Combustibles fósiles'!$E$17:$N$39,"emissions",'6.1_Resultados Illes Balears'!E$71:E300)/1000)-SUM(F$72:F299)</f>
        <v>0</v>
      </c>
      <c r="G300" s="397">
        <f>((DSUM('1_Combustibles fósiles'!$E$47:$U$67,"emissions1",'6.1_Resultados Illes Balears'!E$71:E300)+DSUM('1_Combustibles fósiles'!$E$47:$U$67,"emissions2",'6.1_Resultados Illes Balears'!E$71:E300))/1000)-SUM(G$72:G299)</f>
        <v>0</v>
      </c>
      <c r="H300" s="397">
        <f>(DSUM('2_Fluorados'!$E$11:$P$33,"emissions",'6.1_Resultados Illes Balears'!E$71:E300)/1000)-SUM(H$72:H299)</f>
        <v>0</v>
      </c>
      <c r="I300" s="503">
        <f>(DSUM('3_Emisiones proceso'!$E$13:$K$35,"emissions",'6.1_Resultados Illes Balears'!E$71:E300)/1000)-SUM(I$72:I299)</f>
        <v>0</v>
      </c>
      <c r="J300" s="503"/>
      <c r="K300" s="504">
        <f t="shared" si="6"/>
        <v>0</v>
      </c>
      <c r="L300" s="504"/>
      <c r="M300" s="504"/>
      <c r="N300" s="503">
        <f>((DSUM('4.1_Electricidad Illes Balears'!$E$20:$J$42,"emisiones",'6.1_Resultados Illes Balears'!E$71:E300)+DSUM('4.1_Electricidad Illes Balears'!$E$50:$K$70,"emisiones",'6.1_Resultados Illes Balears'!E$71:E300))/1000)-SUM(N$72:N299)</f>
        <v>0</v>
      </c>
      <c r="O300" s="504"/>
      <c r="P300" s="504">
        <f t="shared" si="7"/>
        <v>0</v>
      </c>
      <c r="Q300" s="504"/>
      <c r="R300" s="504"/>
    </row>
    <row r="301" spans="5:18" x14ac:dyDescent="0.3">
      <c r="E301" s="195" t="str">
        <f>IF(Dades!E891="","",Dades!E891)</f>
        <v/>
      </c>
      <c r="F301" s="397">
        <f>(DSUM('1_Combustibles fósiles'!$E$17:$N$39,"emissions",'6.1_Resultados Illes Balears'!E$71:E301)/1000)-SUM(F$72:F300)</f>
        <v>0</v>
      </c>
      <c r="G301" s="397">
        <f>((DSUM('1_Combustibles fósiles'!$E$47:$U$67,"emissions1",'6.1_Resultados Illes Balears'!E$71:E301)+DSUM('1_Combustibles fósiles'!$E$47:$U$67,"emissions2",'6.1_Resultados Illes Balears'!E$71:E301))/1000)-SUM(G$72:G300)</f>
        <v>0</v>
      </c>
      <c r="H301" s="397">
        <f>(DSUM('2_Fluorados'!$E$11:$P$33,"emissions",'6.1_Resultados Illes Balears'!E$71:E301)/1000)-SUM(H$72:H300)</f>
        <v>0</v>
      </c>
      <c r="I301" s="503">
        <f>(DSUM('3_Emisiones proceso'!$E$13:$K$35,"emissions",'6.1_Resultados Illes Balears'!E$71:E301)/1000)-SUM(I$72:I300)</f>
        <v>0</v>
      </c>
      <c r="J301" s="503"/>
      <c r="K301" s="504">
        <f t="shared" si="6"/>
        <v>0</v>
      </c>
      <c r="L301" s="504"/>
      <c r="M301" s="504"/>
      <c r="N301" s="503">
        <f>((DSUM('4.1_Electricidad Illes Balears'!$E$20:$J$42,"emisiones",'6.1_Resultados Illes Balears'!E$71:E301)+DSUM('4.1_Electricidad Illes Balears'!$E$50:$K$70,"emisiones",'6.1_Resultados Illes Balears'!E$71:E301))/1000)-SUM(N$72:N300)</f>
        <v>0</v>
      </c>
      <c r="O301" s="504"/>
      <c r="P301" s="504">
        <f t="shared" si="7"/>
        <v>0</v>
      </c>
      <c r="Q301" s="504"/>
      <c r="R301" s="504"/>
    </row>
    <row r="302" spans="5:18" x14ac:dyDescent="0.3">
      <c r="E302" s="195" t="str">
        <f>IF(Dades!E892="","",Dades!E892)</f>
        <v/>
      </c>
      <c r="F302" s="397">
        <f>(DSUM('1_Combustibles fósiles'!$E$17:$N$39,"emissions",'6.1_Resultados Illes Balears'!E$71:E302)/1000)-SUM(F$72:F301)</f>
        <v>0</v>
      </c>
      <c r="G302" s="397">
        <f>((DSUM('1_Combustibles fósiles'!$E$47:$U$67,"emissions1",'6.1_Resultados Illes Balears'!E$71:E302)+DSUM('1_Combustibles fósiles'!$E$47:$U$67,"emissions2",'6.1_Resultados Illes Balears'!E$71:E302))/1000)-SUM(G$72:G301)</f>
        <v>0</v>
      </c>
      <c r="H302" s="397">
        <f>(DSUM('2_Fluorados'!$E$11:$P$33,"emissions",'6.1_Resultados Illes Balears'!E$71:E302)/1000)-SUM(H$72:H301)</f>
        <v>0</v>
      </c>
      <c r="I302" s="503">
        <f>(DSUM('3_Emisiones proceso'!$E$13:$K$35,"emissions",'6.1_Resultados Illes Balears'!E$71:E302)/1000)-SUM(I$72:I301)</f>
        <v>0</v>
      </c>
      <c r="J302" s="503"/>
      <c r="K302" s="504">
        <f t="shared" si="6"/>
        <v>0</v>
      </c>
      <c r="L302" s="504"/>
      <c r="M302" s="504"/>
      <c r="N302" s="503">
        <f>((DSUM('4.1_Electricidad Illes Balears'!$E$20:$J$42,"emisiones",'6.1_Resultados Illes Balears'!E$71:E302)+DSUM('4.1_Electricidad Illes Balears'!$E$50:$K$70,"emisiones",'6.1_Resultados Illes Balears'!E$71:E302))/1000)-SUM(N$72:N301)</f>
        <v>0</v>
      </c>
      <c r="O302" s="504"/>
      <c r="P302" s="504">
        <f t="shared" si="7"/>
        <v>0</v>
      </c>
      <c r="Q302" s="504"/>
      <c r="R302" s="504"/>
    </row>
    <row r="303" spans="5:18" x14ac:dyDescent="0.3">
      <c r="E303" s="195" t="str">
        <f>IF(Dades!E893="","",Dades!E893)</f>
        <v/>
      </c>
      <c r="F303" s="397">
        <f>(DSUM('1_Combustibles fósiles'!$E$17:$N$39,"emissions",'6.1_Resultados Illes Balears'!E$71:E303)/1000)-SUM(F$72:F302)</f>
        <v>0</v>
      </c>
      <c r="G303" s="397">
        <f>((DSUM('1_Combustibles fósiles'!$E$47:$U$67,"emissions1",'6.1_Resultados Illes Balears'!E$71:E303)+DSUM('1_Combustibles fósiles'!$E$47:$U$67,"emissions2",'6.1_Resultados Illes Balears'!E$71:E303))/1000)-SUM(G$72:G302)</f>
        <v>0</v>
      </c>
      <c r="H303" s="397">
        <f>(DSUM('2_Fluorados'!$E$11:$P$33,"emissions",'6.1_Resultados Illes Balears'!E$71:E303)/1000)-SUM(H$72:H302)</f>
        <v>0</v>
      </c>
      <c r="I303" s="503">
        <f>(DSUM('3_Emisiones proceso'!$E$13:$K$35,"emissions",'6.1_Resultados Illes Balears'!E$71:E303)/1000)-SUM(I$72:I302)</f>
        <v>0</v>
      </c>
      <c r="J303" s="503"/>
      <c r="K303" s="504">
        <f t="shared" si="6"/>
        <v>0</v>
      </c>
      <c r="L303" s="504"/>
      <c r="M303" s="504"/>
      <c r="N303" s="503">
        <f>((DSUM('4.1_Electricidad Illes Balears'!$E$20:$J$42,"emisiones",'6.1_Resultados Illes Balears'!E$71:E303)+DSUM('4.1_Electricidad Illes Balears'!$E$50:$K$70,"emisiones",'6.1_Resultados Illes Balears'!E$71:E303))/1000)-SUM(N$72:N302)</f>
        <v>0</v>
      </c>
      <c r="O303" s="504"/>
      <c r="P303" s="504">
        <f t="shared" si="7"/>
        <v>0</v>
      </c>
      <c r="Q303" s="504"/>
      <c r="R303" s="504"/>
    </row>
    <row r="304" spans="5:18" x14ac:dyDescent="0.3">
      <c r="E304" s="195" t="str">
        <f>IF(Dades!E894="","",Dades!E894)</f>
        <v/>
      </c>
      <c r="F304" s="397">
        <f>(DSUM('1_Combustibles fósiles'!$E$17:$N$39,"emissions",'6.1_Resultados Illes Balears'!E$71:E304)/1000)-SUM(F$72:F303)</f>
        <v>0</v>
      </c>
      <c r="G304" s="397">
        <f>((DSUM('1_Combustibles fósiles'!$E$47:$U$67,"emissions1",'6.1_Resultados Illes Balears'!E$71:E304)+DSUM('1_Combustibles fósiles'!$E$47:$U$67,"emissions2",'6.1_Resultados Illes Balears'!E$71:E304))/1000)-SUM(G$72:G303)</f>
        <v>0</v>
      </c>
      <c r="H304" s="397">
        <f>(DSUM('2_Fluorados'!$E$11:$P$33,"emissions",'6.1_Resultados Illes Balears'!E$71:E304)/1000)-SUM(H$72:H303)</f>
        <v>0</v>
      </c>
      <c r="I304" s="503">
        <f>(DSUM('3_Emisiones proceso'!$E$13:$K$35,"emissions",'6.1_Resultados Illes Balears'!E$71:E304)/1000)-SUM(I$72:I303)</f>
        <v>0</v>
      </c>
      <c r="J304" s="503"/>
      <c r="K304" s="504">
        <f t="shared" si="6"/>
        <v>0</v>
      </c>
      <c r="L304" s="504"/>
      <c r="M304" s="504"/>
      <c r="N304" s="503">
        <f>((DSUM('4.1_Electricidad Illes Balears'!$E$20:$J$42,"emisiones",'6.1_Resultados Illes Balears'!E$71:E304)+DSUM('4.1_Electricidad Illes Balears'!$E$50:$K$70,"emisiones",'6.1_Resultados Illes Balears'!E$71:E304))/1000)-SUM(N$72:N303)</f>
        <v>0</v>
      </c>
      <c r="O304" s="504"/>
      <c r="P304" s="504">
        <f t="shared" si="7"/>
        <v>0</v>
      </c>
      <c r="Q304" s="504"/>
      <c r="R304" s="504"/>
    </row>
    <row r="305" spans="5:18" x14ac:dyDescent="0.3">
      <c r="E305" s="195" t="str">
        <f>IF(Dades!E895="","",Dades!E895)</f>
        <v/>
      </c>
      <c r="F305" s="397">
        <f>(DSUM('1_Combustibles fósiles'!$E$17:$N$39,"emissions",'6.1_Resultados Illes Balears'!E$71:E305)/1000)-SUM(F$72:F304)</f>
        <v>0</v>
      </c>
      <c r="G305" s="397">
        <f>((DSUM('1_Combustibles fósiles'!$E$47:$U$67,"emissions1",'6.1_Resultados Illes Balears'!E$71:E305)+DSUM('1_Combustibles fósiles'!$E$47:$U$67,"emissions2",'6.1_Resultados Illes Balears'!E$71:E305))/1000)-SUM(G$72:G304)</f>
        <v>0</v>
      </c>
      <c r="H305" s="397">
        <f>(DSUM('2_Fluorados'!$E$11:$P$33,"emissions",'6.1_Resultados Illes Balears'!E$71:E305)/1000)-SUM(H$72:H304)</f>
        <v>0</v>
      </c>
      <c r="I305" s="503">
        <f>(DSUM('3_Emisiones proceso'!$E$13:$K$35,"emissions",'6.1_Resultados Illes Balears'!E$71:E305)/1000)-SUM(I$72:I304)</f>
        <v>0</v>
      </c>
      <c r="J305" s="503"/>
      <c r="K305" s="504">
        <f t="shared" si="6"/>
        <v>0</v>
      </c>
      <c r="L305" s="504"/>
      <c r="M305" s="504"/>
      <c r="N305" s="503">
        <f>((DSUM('4.1_Electricidad Illes Balears'!$E$20:$J$42,"emisiones",'6.1_Resultados Illes Balears'!E$71:E305)+DSUM('4.1_Electricidad Illes Balears'!$E$50:$K$70,"emisiones",'6.1_Resultados Illes Balears'!E$71:E305))/1000)-SUM(N$72:N304)</f>
        <v>0</v>
      </c>
      <c r="O305" s="504"/>
      <c r="P305" s="504">
        <f t="shared" si="7"/>
        <v>0</v>
      </c>
      <c r="Q305" s="504"/>
      <c r="R305" s="504"/>
    </row>
    <row r="306" spans="5:18" x14ac:dyDescent="0.3">
      <c r="E306" s="195" t="str">
        <f>IF(Dades!E896="","",Dades!E896)</f>
        <v/>
      </c>
      <c r="F306" s="397">
        <f>(DSUM('1_Combustibles fósiles'!$E$17:$N$39,"emissions",'6.1_Resultados Illes Balears'!E$71:E306)/1000)-SUM(F$72:F305)</f>
        <v>0</v>
      </c>
      <c r="G306" s="397">
        <f>((DSUM('1_Combustibles fósiles'!$E$47:$U$67,"emissions1",'6.1_Resultados Illes Balears'!E$71:E306)+DSUM('1_Combustibles fósiles'!$E$47:$U$67,"emissions2",'6.1_Resultados Illes Balears'!E$71:E306))/1000)-SUM(G$72:G305)</f>
        <v>0</v>
      </c>
      <c r="H306" s="397">
        <f>(DSUM('2_Fluorados'!$E$11:$P$33,"emissions",'6.1_Resultados Illes Balears'!E$71:E306)/1000)-SUM(H$72:H305)</f>
        <v>0</v>
      </c>
      <c r="I306" s="503">
        <f>(DSUM('3_Emisiones proceso'!$E$13:$K$35,"emissions",'6.1_Resultados Illes Balears'!E$71:E306)/1000)-SUM(I$72:I305)</f>
        <v>0</v>
      </c>
      <c r="J306" s="503"/>
      <c r="K306" s="504">
        <f t="shared" si="6"/>
        <v>0</v>
      </c>
      <c r="L306" s="504"/>
      <c r="M306" s="504"/>
      <c r="N306" s="503">
        <f>((DSUM('4.1_Electricidad Illes Balears'!$E$20:$J$42,"emisiones",'6.1_Resultados Illes Balears'!E$71:E306)+DSUM('4.1_Electricidad Illes Balears'!$E$50:$K$70,"emisiones",'6.1_Resultados Illes Balears'!E$71:E306))/1000)-SUM(N$72:N305)</f>
        <v>0</v>
      </c>
      <c r="O306" s="504"/>
      <c r="P306" s="504">
        <f t="shared" si="7"/>
        <v>0</v>
      </c>
      <c r="Q306" s="504"/>
      <c r="R306" s="504"/>
    </row>
    <row r="307" spans="5:18" x14ac:dyDescent="0.3">
      <c r="E307" s="195" t="str">
        <f>IF(Dades!E897="","",Dades!E897)</f>
        <v/>
      </c>
      <c r="F307" s="397">
        <f>(DSUM('1_Combustibles fósiles'!$E$17:$N$39,"emissions",'6.1_Resultados Illes Balears'!E$71:E307)/1000)-SUM(F$72:F306)</f>
        <v>0</v>
      </c>
      <c r="G307" s="397">
        <f>((DSUM('1_Combustibles fósiles'!$E$47:$U$67,"emissions1",'6.1_Resultados Illes Balears'!E$71:E307)+DSUM('1_Combustibles fósiles'!$E$47:$U$67,"emissions2",'6.1_Resultados Illes Balears'!E$71:E307))/1000)-SUM(G$72:G306)</f>
        <v>0</v>
      </c>
      <c r="H307" s="397">
        <f>(DSUM('2_Fluorados'!$E$11:$P$33,"emissions",'6.1_Resultados Illes Balears'!E$71:E307)/1000)-SUM(H$72:H306)</f>
        <v>0</v>
      </c>
      <c r="I307" s="503">
        <f>(DSUM('3_Emisiones proceso'!$E$13:$K$35,"emissions",'6.1_Resultados Illes Balears'!E$71:E307)/1000)-SUM(I$72:I306)</f>
        <v>0</v>
      </c>
      <c r="J307" s="503"/>
      <c r="K307" s="504">
        <f t="shared" si="6"/>
        <v>0</v>
      </c>
      <c r="L307" s="504"/>
      <c r="M307" s="504"/>
      <c r="N307" s="503">
        <f>((DSUM('4.1_Electricidad Illes Balears'!$E$20:$J$42,"emisiones",'6.1_Resultados Illes Balears'!E$71:E307)+DSUM('4.1_Electricidad Illes Balears'!$E$50:$K$70,"emisiones",'6.1_Resultados Illes Balears'!E$71:E307))/1000)-SUM(N$72:N306)</f>
        <v>0</v>
      </c>
      <c r="O307" s="504"/>
      <c r="P307" s="504">
        <f t="shared" si="7"/>
        <v>0</v>
      </c>
      <c r="Q307" s="504"/>
      <c r="R307" s="504"/>
    </row>
    <row r="308" spans="5:18" x14ac:dyDescent="0.3">
      <c r="E308" s="195" t="str">
        <f>IF(Dades!E898="","",Dades!E898)</f>
        <v/>
      </c>
      <c r="F308" s="397">
        <f>(DSUM('1_Combustibles fósiles'!$E$17:$N$39,"emissions",'6.1_Resultados Illes Balears'!E$71:E308)/1000)-SUM(F$72:F307)</f>
        <v>0</v>
      </c>
      <c r="G308" s="397">
        <f>((DSUM('1_Combustibles fósiles'!$E$47:$U$67,"emissions1",'6.1_Resultados Illes Balears'!E$71:E308)+DSUM('1_Combustibles fósiles'!$E$47:$U$67,"emissions2",'6.1_Resultados Illes Balears'!E$71:E308))/1000)-SUM(G$72:G307)</f>
        <v>0</v>
      </c>
      <c r="H308" s="397">
        <f>(DSUM('2_Fluorados'!$E$11:$P$33,"emissions",'6.1_Resultados Illes Balears'!E$71:E308)/1000)-SUM(H$72:H307)</f>
        <v>0</v>
      </c>
      <c r="I308" s="503">
        <f>(DSUM('3_Emisiones proceso'!$E$13:$K$35,"emissions",'6.1_Resultados Illes Balears'!E$71:E308)/1000)-SUM(I$72:I307)</f>
        <v>0</v>
      </c>
      <c r="J308" s="503"/>
      <c r="K308" s="504">
        <f t="shared" si="6"/>
        <v>0</v>
      </c>
      <c r="L308" s="504"/>
      <c r="M308" s="504"/>
      <c r="N308" s="503">
        <f>((DSUM('4.1_Electricidad Illes Balears'!$E$20:$J$42,"emisiones",'6.1_Resultados Illes Balears'!E$71:E308)+DSUM('4.1_Electricidad Illes Balears'!$E$50:$K$70,"emisiones",'6.1_Resultados Illes Balears'!E$71:E308))/1000)-SUM(N$72:N307)</f>
        <v>0</v>
      </c>
      <c r="O308" s="504"/>
      <c r="P308" s="504">
        <f t="shared" si="7"/>
        <v>0</v>
      </c>
      <c r="Q308" s="504"/>
      <c r="R308" s="504"/>
    </row>
    <row r="309" spans="5:18" x14ac:dyDescent="0.3">
      <c r="E309" s="195" t="str">
        <f>IF(Dades!E899="","",Dades!E899)</f>
        <v/>
      </c>
      <c r="F309" s="397">
        <f>(DSUM('1_Combustibles fósiles'!$E$17:$N$39,"emissions",'6.1_Resultados Illes Balears'!E$71:E309)/1000)-SUM(F$72:F308)</f>
        <v>0</v>
      </c>
      <c r="G309" s="397">
        <f>((DSUM('1_Combustibles fósiles'!$E$47:$U$67,"emissions1",'6.1_Resultados Illes Balears'!E$71:E309)+DSUM('1_Combustibles fósiles'!$E$47:$U$67,"emissions2",'6.1_Resultados Illes Balears'!E$71:E309))/1000)-SUM(G$72:G308)</f>
        <v>0</v>
      </c>
      <c r="H309" s="397">
        <f>(DSUM('2_Fluorados'!$E$11:$P$33,"emissions",'6.1_Resultados Illes Balears'!E$71:E309)/1000)-SUM(H$72:H308)</f>
        <v>0</v>
      </c>
      <c r="I309" s="503">
        <f>(DSUM('3_Emisiones proceso'!$E$13:$K$35,"emissions",'6.1_Resultados Illes Balears'!E$71:E309)/1000)-SUM(I$72:I308)</f>
        <v>0</v>
      </c>
      <c r="J309" s="503"/>
      <c r="K309" s="504">
        <f t="shared" si="6"/>
        <v>0</v>
      </c>
      <c r="L309" s="504"/>
      <c r="M309" s="504"/>
      <c r="N309" s="503">
        <f>((DSUM('4.1_Electricidad Illes Balears'!$E$20:$J$42,"emisiones",'6.1_Resultados Illes Balears'!E$71:E309)+DSUM('4.1_Electricidad Illes Balears'!$E$50:$K$70,"emisiones",'6.1_Resultados Illes Balears'!E$71:E309))/1000)-SUM(N$72:N308)</f>
        <v>0</v>
      </c>
      <c r="O309" s="504"/>
      <c r="P309" s="504">
        <f t="shared" si="7"/>
        <v>0</v>
      </c>
      <c r="Q309" s="504"/>
      <c r="R309" s="504"/>
    </row>
    <row r="310" spans="5:18" x14ac:dyDescent="0.3">
      <c r="E310" s="195" t="str">
        <f>IF(Dades!E900="","",Dades!E900)</f>
        <v/>
      </c>
      <c r="F310" s="397">
        <f>(DSUM('1_Combustibles fósiles'!$E$17:$N$39,"emissions",'6.1_Resultados Illes Balears'!E$71:E310)/1000)-SUM(F$72:F309)</f>
        <v>0</v>
      </c>
      <c r="G310" s="397">
        <f>((DSUM('1_Combustibles fósiles'!$E$47:$U$67,"emissions1",'6.1_Resultados Illes Balears'!E$71:E310)+DSUM('1_Combustibles fósiles'!$E$47:$U$67,"emissions2",'6.1_Resultados Illes Balears'!E$71:E310))/1000)-SUM(G$72:G309)</f>
        <v>0</v>
      </c>
      <c r="H310" s="397">
        <f>(DSUM('2_Fluorados'!$E$11:$P$33,"emissions",'6.1_Resultados Illes Balears'!E$71:E310)/1000)-SUM(H$72:H309)</f>
        <v>0</v>
      </c>
      <c r="I310" s="503">
        <f>(DSUM('3_Emisiones proceso'!$E$13:$K$35,"emissions",'6.1_Resultados Illes Balears'!E$71:E310)/1000)-SUM(I$72:I309)</f>
        <v>0</v>
      </c>
      <c r="J310" s="503"/>
      <c r="K310" s="504">
        <f t="shared" si="6"/>
        <v>0</v>
      </c>
      <c r="L310" s="504"/>
      <c r="M310" s="504"/>
      <c r="N310" s="503">
        <f>((DSUM('4.1_Electricidad Illes Balears'!$E$20:$J$42,"emisiones",'6.1_Resultados Illes Balears'!E$71:E310)+DSUM('4.1_Electricidad Illes Balears'!$E$50:$K$70,"emisiones",'6.1_Resultados Illes Balears'!E$71:E310))/1000)-SUM(N$72:N309)</f>
        <v>0</v>
      </c>
      <c r="O310" s="504"/>
      <c r="P310" s="504">
        <f t="shared" si="7"/>
        <v>0</v>
      </c>
      <c r="Q310" s="504"/>
      <c r="R310" s="504"/>
    </row>
    <row r="311" spans="5:18" x14ac:dyDescent="0.3">
      <c r="E311" s="195" t="str">
        <f>IF(Dades!E901="","",Dades!E901)</f>
        <v/>
      </c>
      <c r="F311" s="397">
        <f>(DSUM('1_Combustibles fósiles'!$E$17:$N$39,"emissions",'6.1_Resultados Illes Balears'!E$71:E311)/1000)-SUM(F$72:F310)</f>
        <v>0</v>
      </c>
      <c r="G311" s="397">
        <f>((DSUM('1_Combustibles fósiles'!$E$47:$U$67,"emissions1",'6.1_Resultados Illes Balears'!E$71:E311)+DSUM('1_Combustibles fósiles'!$E$47:$U$67,"emissions2",'6.1_Resultados Illes Balears'!E$71:E311))/1000)-SUM(G$72:G310)</f>
        <v>0</v>
      </c>
      <c r="H311" s="397">
        <f>(DSUM('2_Fluorados'!$E$11:$P$33,"emissions",'6.1_Resultados Illes Balears'!E$71:E311)/1000)-SUM(H$72:H310)</f>
        <v>0</v>
      </c>
      <c r="I311" s="503">
        <f>(DSUM('3_Emisiones proceso'!$E$13:$K$35,"emissions",'6.1_Resultados Illes Balears'!E$71:E311)/1000)-SUM(I$72:I310)</f>
        <v>0</v>
      </c>
      <c r="J311" s="503"/>
      <c r="K311" s="504">
        <f t="shared" si="6"/>
        <v>0</v>
      </c>
      <c r="L311" s="504"/>
      <c r="M311" s="504"/>
      <c r="N311" s="503">
        <f>((DSUM('4.1_Electricidad Illes Balears'!$E$20:$J$42,"emisiones",'6.1_Resultados Illes Balears'!E$71:E311)+DSUM('4.1_Electricidad Illes Balears'!$E$50:$K$70,"emisiones",'6.1_Resultados Illes Balears'!E$71:E311))/1000)-SUM(N$72:N310)</f>
        <v>0</v>
      </c>
      <c r="O311" s="504"/>
      <c r="P311" s="504">
        <f t="shared" si="7"/>
        <v>0</v>
      </c>
      <c r="Q311" s="504"/>
      <c r="R311" s="504"/>
    </row>
    <row r="312" spans="5:18" x14ac:dyDescent="0.3">
      <c r="E312" s="195" t="str">
        <f>IF(Dades!E902="","",Dades!E902)</f>
        <v/>
      </c>
      <c r="F312" s="397">
        <f>(DSUM('1_Combustibles fósiles'!$E$17:$N$39,"emissions",'6.1_Resultados Illes Balears'!E$71:E312)/1000)-SUM(F$72:F311)</f>
        <v>0</v>
      </c>
      <c r="G312" s="397">
        <f>((DSUM('1_Combustibles fósiles'!$E$47:$U$67,"emissions1",'6.1_Resultados Illes Balears'!E$71:E312)+DSUM('1_Combustibles fósiles'!$E$47:$U$67,"emissions2",'6.1_Resultados Illes Balears'!E$71:E312))/1000)-SUM(G$72:G311)</f>
        <v>0</v>
      </c>
      <c r="H312" s="397">
        <f>(DSUM('2_Fluorados'!$E$11:$P$33,"emissions",'6.1_Resultados Illes Balears'!E$71:E312)/1000)-SUM(H$72:H311)</f>
        <v>0</v>
      </c>
      <c r="I312" s="503">
        <f>(DSUM('3_Emisiones proceso'!$E$13:$K$35,"emissions",'6.1_Resultados Illes Balears'!E$71:E312)/1000)-SUM(I$72:I311)</f>
        <v>0</v>
      </c>
      <c r="J312" s="503"/>
      <c r="K312" s="504">
        <f t="shared" si="6"/>
        <v>0</v>
      </c>
      <c r="L312" s="504"/>
      <c r="M312" s="504"/>
      <c r="N312" s="503">
        <f>((DSUM('4.1_Electricidad Illes Balears'!$E$20:$J$42,"emisiones",'6.1_Resultados Illes Balears'!E$71:E312)+DSUM('4.1_Electricidad Illes Balears'!$E$50:$K$70,"emisiones",'6.1_Resultados Illes Balears'!E$71:E312))/1000)-SUM(N$72:N311)</f>
        <v>0</v>
      </c>
      <c r="O312" s="504"/>
      <c r="P312" s="504">
        <f t="shared" si="7"/>
        <v>0</v>
      </c>
      <c r="Q312" s="504"/>
      <c r="R312" s="504"/>
    </row>
    <row r="313" spans="5:18" x14ac:dyDescent="0.3">
      <c r="E313" s="195" t="str">
        <f>IF(Dades!E903="","",Dades!E903)</f>
        <v/>
      </c>
      <c r="F313" s="397">
        <f>(DSUM('1_Combustibles fósiles'!$E$17:$N$39,"emissions",'6.1_Resultados Illes Balears'!E$71:E313)/1000)-SUM(F$72:F312)</f>
        <v>0</v>
      </c>
      <c r="G313" s="397">
        <f>((DSUM('1_Combustibles fósiles'!$E$47:$U$67,"emissions1",'6.1_Resultados Illes Balears'!E$71:E313)+DSUM('1_Combustibles fósiles'!$E$47:$U$67,"emissions2",'6.1_Resultados Illes Balears'!E$71:E313))/1000)-SUM(G$72:G312)</f>
        <v>0</v>
      </c>
      <c r="H313" s="397">
        <f>(DSUM('2_Fluorados'!$E$11:$P$33,"emissions",'6.1_Resultados Illes Balears'!E$71:E313)/1000)-SUM(H$72:H312)</f>
        <v>0</v>
      </c>
      <c r="I313" s="503">
        <f>(DSUM('3_Emisiones proceso'!$E$13:$K$35,"emissions",'6.1_Resultados Illes Balears'!E$71:E313)/1000)-SUM(I$72:I312)</f>
        <v>0</v>
      </c>
      <c r="J313" s="503"/>
      <c r="K313" s="504">
        <f t="shared" si="6"/>
        <v>0</v>
      </c>
      <c r="L313" s="504"/>
      <c r="M313" s="504"/>
      <c r="N313" s="503">
        <f>((DSUM('4.1_Electricidad Illes Balears'!$E$20:$J$42,"emisiones",'6.1_Resultados Illes Balears'!E$71:E313)+DSUM('4.1_Electricidad Illes Balears'!$E$50:$K$70,"emisiones",'6.1_Resultados Illes Balears'!E$71:E313))/1000)-SUM(N$72:N312)</f>
        <v>0</v>
      </c>
      <c r="O313" s="504"/>
      <c r="P313" s="504">
        <f t="shared" si="7"/>
        <v>0</v>
      </c>
      <c r="Q313" s="504"/>
      <c r="R313" s="504"/>
    </row>
    <row r="314" spans="5:18" x14ac:dyDescent="0.3">
      <c r="E314" s="195" t="str">
        <f>IF(Dades!E904="","",Dades!E904)</f>
        <v/>
      </c>
      <c r="F314" s="397">
        <f>(DSUM('1_Combustibles fósiles'!$E$17:$N$39,"emissions",'6.1_Resultados Illes Balears'!E$71:E314)/1000)-SUM(F$72:F313)</f>
        <v>0</v>
      </c>
      <c r="G314" s="397">
        <f>((DSUM('1_Combustibles fósiles'!$E$47:$U$67,"emissions1",'6.1_Resultados Illes Balears'!E$71:E314)+DSUM('1_Combustibles fósiles'!$E$47:$U$67,"emissions2",'6.1_Resultados Illes Balears'!E$71:E314))/1000)-SUM(G$72:G313)</f>
        <v>0</v>
      </c>
      <c r="H314" s="397">
        <f>(DSUM('2_Fluorados'!$E$11:$P$33,"emissions",'6.1_Resultados Illes Balears'!E$71:E314)/1000)-SUM(H$72:H313)</f>
        <v>0</v>
      </c>
      <c r="I314" s="503">
        <f>(DSUM('3_Emisiones proceso'!$E$13:$K$35,"emissions",'6.1_Resultados Illes Balears'!E$71:E314)/1000)-SUM(I$72:I313)</f>
        <v>0</v>
      </c>
      <c r="J314" s="503"/>
      <c r="K314" s="504">
        <f t="shared" si="6"/>
        <v>0</v>
      </c>
      <c r="L314" s="504"/>
      <c r="M314" s="504"/>
      <c r="N314" s="503">
        <f>((DSUM('4.1_Electricidad Illes Balears'!$E$20:$J$42,"emisiones",'6.1_Resultados Illes Balears'!E$71:E314)+DSUM('4.1_Electricidad Illes Balears'!$E$50:$K$70,"emisiones",'6.1_Resultados Illes Balears'!E$71:E314))/1000)-SUM(N$72:N313)</f>
        <v>0</v>
      </c>
      <c r="O314" s="504"/>
      <c r="P314" s="504">
        <f t="shared" si="7"/>
        <v>0</v>
      </c>
      <c r="Q314" s="504"/>
      <c r="R314" s="504"/>
    </row>
    <row r="315" spans="5:18" x14ac:dyDescent="0.3">
      <c r="E315" s="195" t="str">
        <f>IF(Dades!E905="","",Dades!E905)</f>
        <v/>
      </c>
      <c r="F315" s="397">
        <f>(DSUM('1_Combustibles fósiles'!$E$17:$N$39,"emissions",'6.1_Resultados Illes Balears'!E$71:E315)/1000)-SUM(F$72:F314)</f>
        <v>0</v>
      </c>
      <c r="G315" s="397">
        <f>((DSUM('1_Combustibles fósiles'!$E$47:$U$67,"emissions1",'6.1_Resultados Illes Balears'!E$71:E315)+DSUM('1_Combustibles fósiles'!$E$47:$U$67,"emissions2",'6.1_Resultados Illes Balears'!E$71:E315))/1000)-SUM(G$72:G314)</f>
        <v>0</v>
      </c>
      <c r="H315" s="397">
        <f>(DSUM('2_Fluorados'!$E$11:$P$33,"emissions",'6.1_Resultados Illes Balears'!E$71:E315)/1000)-SUM(H$72:H314)</f>
        <v>0</v>
      </c>
      <c r="I315" s="503">
        <f>(DSUM('3_Emisiones proceso'!$E$13:$K$35,"emissions",'6.1_Resultados Illes Balears'!E$71:E315)/1000)-SUM(I$72:I314)</f>
        <v>0</v>
      </c>
      <c r="J315" s="503"/>
      <c r="K315" s="504">
        <f t="shared" si="6"/>
        <v>0</v>
      </c>
      <c r="L315" s="504"/>
      <c r="M315" s="504"/>
      <c r="N315" s="503">
        <f>((DSUM('4.1_Electricidad Illes Balears'!$E$20:$J$42,"emisiones",'6.1_Resultados Illes Balears'!E$71:E315)+DSUM('4.1_Electricidad Illes Balears'!$E$50:$K$70,"emisiones",'6.1_Resultados Illes Balears'!E$71:E315))/1000)-SUM(N$72:N314)</f>
        <v>0</v>
      </c>
      <c r="O315" s="504"/>
      <c r="P315" s="504">
        <f t="shared" si="7"/>
        <v>0</v>
      </c>
      <c r="Q315" s="504"/>
      <c r="R315" s="504"/>
    </row>
    <row r="316" spans="5:18" x14ac:dyDescent="0.3">
      <c r="E316" s="195" t="str">
        <f>IF(Dades!E906="","",Dades!E906)</f>
        <v/>
      </c>
      <c r="F316" s="397">
        <f>(DSUM('1_Combustibles fósiles'!$E$17:$N$39,"emissions",'6.1_Resultados Illes Balears'!E$71:E316)/1000)-SUM(F$72:F315)</f>
        <v>0</v>
      </c>
      <c r="G316" s="397">
        <f>((DSUM('1_Combustibles fósiles'!$E$47:$U$67,"emissions1",'6.1_Resultados Illes Balears'!E$71:E316)+DSUM('1_Combustibles fósiles'!$E$47:$U$67,"emissions2",'6.1_Resultados Illes Balears'!E$71:E316))/1000)-SUM(G$72:G315)</f>
        <v>0</v>
      </c>
      <c r="H316" s="397">
        <f>(DSUM('2_Fluorados'!$E$11:$P$33,"emissions",'6.1_Resultados Illes Balears'!E$71:E316)/1000)-SUM(H$72:H315)</f>
        <v>0</v>
      </c>
      <c r="I316" s="503">
        <f>(DSUM('3_Emisiones proceso'!$E$13:$K$35,"emissions",'6.1_Resultados Illes Balears'!E$71:E316)/1000)-SUM(I$72:I315)</f>
        <v>0</v>
      </c>
      <c r="J316" s="503"/>
      <c r="K316" s="504">
        <f t="shared" si="6"/>
        <v>0</v>
      </c>
      <c r="L316" s="504"/>
      <c r="M316" s="504"/>
      <c r="N316" s="503">
        <f>((DSUM('4.1_Electricidad Illes Balears'!$E$20:$J$42,"emisiones",'6.1_Resultados Illes Balears'!E$71:E316)+DSUM('4.1_Electricidad Illes Balears'!$E$50:$K$70,"emisiones",'6.1_Resultados Illes Balears'!E$71:E316))/1000)-SUM(N$72:N315)</f>
        <v>0</v>
      </c>
      <c r="O316" s="504"/>
      <c r="P316" s="504">
        <f t="shared" si="7"/>
        <v>0</v>
      </c>
      <c r="Q316" s="504"/>
      <c r="R316" s="504"/>
    </row>
    <row r="317" spans="5:18" x14ac:dyDescent="0.3">
      <c r="E317" s="195" t="str">
        <f>IF(Dades!E907="","",Dades!E907)</f>
        <v/>
      </c>
      <c r="F317" s="397">
        <f>(DSUM('1_Combustibles fósiles'!$E$17:$N$39,"emissions",'6.1_Resultados Illes Balears'!E$71:E317)/1000)-SUM(F$72:F316)</f>
        <v>0</v>
      </c>
      <c r="G317" s="397">
        <f>((DSUM('1_Combustibles fósiles'!$E$47:$U$67,"emissions1",'6.1_Resultados Illes Balears'!E$71:E317)+DSUM('1_Combustibles fósiles'!$E$47:$U$67,"emissions2",'6.1_Resultados Illes Balears'!E$71:E317))/1000)-SUM(G$72:G316)</f>
        <v>0</v>
      </c>
      <c r="H317" s="397">
        <f>(DSUM('2_Fluorados'!$E$11:$P$33,"emissions",'6.1_Resultados Illes Balears'!E$71:E317)/1000)-SUM(H$72:H316)</f>
        <v>0</v>
      </c>
      <c r="I317" s="503">
        <f>(DSUM('3_Emisiones proceso'!$E$13:$K$35,"emissions",'6.1_Resultados Illes Balears'!E$71:E317)/1000)-SUM(I$72:I316)</f>
        <v>0</v>
      </c>
      <c r="J317" s="503"/>
      <c r="K317" s="504">
        <f t="shared" si="6"/>
        <v>0</v>
      </c>
      <c r="L317" s="504"/>
      <c r="M317" s="504"/>
      <c r="N317" s="503">
        <f>((DSUM('4.1_Electricidad Illes Balears'!$E$20:$J$42,"emisiones",'6.1_Resultados Illes Balears'!E$71:E317)+DSUM('4.1_Electricidad Illes Balears'!$E$50:$K$70,"emisiones",'6.1_Resultados Illes Balears'!E$71:E317))/1000)-SUM(N$72:N316)</f>
        <v>0</v>
      </c>
      <c r="O317" s="504"/>
      <c r="P317" s="504">
        <f t="shared" si="7"/>
        <v>0</v>
      </c>
      <c r="Q317" s="504"/>
      <c r="R317" s="504"/>
    </row>
    <row r="318" spans="5:18" x14ac:dyDescent="0.3">
      <c r="E318" s="195" t="str">
        <f>IF(Dades!E908="","",Dades!E908)</f>
        <v/>
      </c>
      <c r="F318" s="397">
        <f>(DSUM('1_Combustibles fósiles'!$E$17:$N$39,"emissions",'6.1_Resultados Illes Balears'!E$71:E318)/1000)-SUM(F$72:F317)</f>
        <v>0</v>
      </c>
      <c r="G318" s="397">
        <f>((DSUM('1_Combustibles fósiles'!$E$47:$U$67,"emissions1",'6.1_Resultados Illes Balears'!E$71:E318)+DSUM('1_Combustibles fósiles'!$E$47:$U$67,"emissions2",'6.1_Resultados Illes Balears'!E$71:E318))/1000)-SUM(G$72:G317)</f>
        <v>0</v>
      </c>
      <c r="H318" s="397">
        <f>(DSUM('2_Fluorados'!$E$11:$P$33,"emissions",'6.1_Resultados Illes Balears'!E$71:E318)/1000)-SUM(H$72:H317)</f>
        <v>0</v>
      </c>
      <c r="I318" s="503">
        <f>(DSUM('3_Emisiones proceso'!$E$13:$K$35,"emissions",'6.1_Resultados Illes Balears'!E$71:E318)/1000)-SUM(I$72:I317)</f>
        <v>0</v>
      </c>
      <c r="J318" s="503"/>
      <c r="K318" s="504">
        <f t="shared" si="6"/>
        <v>0</v>
      </c>
      <c r="L318" s="504"/>
      <c r="M318" s="504"/>
      <c r="N318" s="503">
        <f>((DSUM('4.1_Electricidad Illes Balears'!$E$20:$J$42,"emisiones",'6.1_Resultados Illes Balears'!E$71:E318)+DSUM('4.1_Electricidad Illes Balears'!$E$50:$K$70,"emisiones",'6.1_Resultados Illes Balears'!E$71:E318))/1000)-SUM(N$72:N317)</f>
        <v>0</v>
      </c>
      <c r="O318" s="504"/>
      <c r="P318" s="504">
        <f t="shared" si="7"/>
        <v>0</v>
      </c>
      <c r="Q318" s="504"/>
      <c r="R318" s="504"/>
    </row>
    <row r="319" spans="5:18" x14ac:dyDescent="0.3">
      <c r="E319" s="195" t="str">
        <f>IF(Dades!E909="","",Dades!E909)</f>
        <v/>
      </c>
      <c r="F319" s="397">
        <f>(DSUM('1_Combustibles fósiles'!$E$17:$N$39,"emissions",'6.1_Resultados Illes Balears'!E$71:E319)/1000)-SUM(F$72:F318)</f>
        <v>0</v>
      </c>
      <c r="G319" s="397">
        <f>((DSUM('1_Combustibles fósiles'!$E$47:$U$67,"emissions1",'6.1_Resultados Illes Balears'!E$71:E319)+DSUM('1_Combustibles fósiles'!$E$47:$U$67,"emissions2",'6.1_Resultados Illes Balears'!E$71:E319))/1000)-SUM(G$72:G318)</f>
        <v>0</v>
      </c>
      <c r="H319" s="397">
        <f>(DSUM('2_Fluorados'!$E$11:$P$33,"emissions",'6.1_Resultados Illes Balears'!E$71:E319)/1000)-SUM(H$72:H318)</f>
        <v>0</v>
      </c>
      <c r="I319" s="503">
        <f>(DSUM('3_Emisiones proceso'!$E$13:$K$35,"emissions",'6.1_Resultados Illes Balears'!E$71:E319)/1000)-SUM(I$72:I318)</f>
        <v>0</v>
      </c>
      <c r="J319" s="503"/>
      <c r="K319" s="504">
        <f t="shared" si="6"/>
        <v>0</v>
      </c>
      <c r="L319" s="504"/>
      <c r="M319" s="504"/>
      <c r="N319" s="503">
        <f>((DSUM('4.1_Electricidad Illes Balears'!$E$20:$J$42,"emisiones",'6.1_Resultados Illes Balears'!E$71:E319)+DSUM('4.1_Electricidad Illes Balears'!$E$50:$K$70,"emisiones",'6.1_Resultados Illes Balears'!E$71:E319))/1000)-SUM(N$72:N318)</f>
        <v>0</v>
      </c>
      <c r="O319" s="504"/>
      <c r="P319" s="504">
        <f t="shared" si="7"/>
        <v>0</v>
      </c>
      <c r="Q319" s="504"/>
      <c r="R319" s="504"/>
    </row>
    <row r="320" spans="5:18" x14ac:dyDescent="0.3">
      <c r="E320" s="195" t="str">
        <f>IF(Dades!E910="","",Dades!E910)</f>
        <v/>
      </c>
      <c r="F320" s="397">
        <f>(DSUM('1_Combustibles fósiles'!$E$17:$N$39,"emissions",'6.1_Resultados Illes Balears'!E$71:E320)/1000)-SUM(F$72:F319)</f>
        <v>0</v>
      </c>
      <c r="G320" s="397">
        <f>((DSUM('1_Combustibles fósiles'!$E$47:$U$67,"emissions1",'6.1_Resultados Illes Balears'!E$71:E320)+DSUM('1_Combustibles fósiles'!$E$47:$U$67,"emissions2",'6.1_Resultados Illes Balears'!E$71:E320))/1000)-SUM(G$72:G319)</f>
        <v>0</v>
      </c>
      <c r="H320" s="397">
        <f>(DSUM('2_Fluorados'!$E$11:$P$33,"emissions",'6.1_Resultados Illes Balears'!E$71:E320)/1000)-SUM(H$72:H319)</f>
        <v>0</v>
      </c>
      <c r="I320" s="503">
        <f>(DSUM('3_Emisiones proceso'!$E$13:$K$35,"emissions",'6.1_Resultados Illes Balears'!E$71:E320)/1000)-SUM(I$72:I319)</f>
        <v>0</v>
      </c>
      <c r="J320" s="503"/>
      <c r="K320" s="504">
        <f t="shared" si="6"/>
        <v>0</v>
      </c>
      <c r="L320" s="504"/>
      <c r="M320" s="504"/>
      <c r="N320" s="503">
        <f>((DSUM('4.1_Electricidad Illes Balears'!$E$20:$J$42,"emisiones",'6.1_Resultados Illes Balears'!E$71:E320)+DSUM('4.1_Electricidad Illes Balears'!$E$50:$K$70,"emisiones",'6.1_Resultados Illes Balears'!E$71:E320))/1000)-SUM(N$72:N319)</f>
        <v>0</v>
      </c>
      <c r="O320" s="504"/>
      <c r="P320" s="504">
        <f t="shared" si="7"/>
        <v>0</v>
      </c>
      <c r="Q320" s="504"/>
      <c r="R320" s="504"/>
    </row>
    <row r="321" spans="1:18" x14ac:dyDescent="0.3">
      <c r="A321" s="13">
        <v>250</v>
      </c>
      <c r="E321" s="195" t="str">
        <f>IF(Dades!E911="","",Dades!E911)</f>
        <v/>
      </c>
      <c r="F321" s="397">
        <f>(DSUM('1_Combustibles fósiles'!$E$17:$N$39,"emissions",'6.1_Resultados Illes Balears'!E$71:E321)/1000)-SUM(F$72:F320)</f>
        <v>0</v>
      </c>
      <c r="G321" s="397">
        <f>((DSUM('1_Combustibles fósiles'!$E$47:$U$67,"emissions1",'6.1_Resultados Illes Balears'!E$71:E321)+DSUM('1_Combustibles fósiles'!$E$47:$U$67,"emissions2",'6.1_Resultados Illes Balears'!E$71:E321))/1000)-SUM(G$72:G320)</f>
        <v>0</v>
      </c>
      <c r="H321" s="397">
        <f>(DSUM('2_Fluorados'!$E$11:$P$33,"emissions",'6.1_Resultados Illes Balears'!E$71:E321)/1000)-SUM(H$72:H320)</f>
        <v>0</v>
      </c>
      <c r="I321" s="503">
        <f>(DSUM('3_Emisiones proceso'!$E$13:$K$35,"emissions",'6.1_Resultados Illes Balears'!E$71:E321)/1000)-SUM(I$72:I320)</f>
        <v>0</v>
      </c>
      <c r="J321" s="503"/>
      <c r="K321" s="504">
        <f t="shared" si="6"/>
        <v>0</v>
      </c>
      <c r="L321" s="504"/>
      <c r="M321" s="504"/>
      <c r="N321" s="503">
        <f>((DSUM('4.1_Electricidad Illes Balears'!$E$20:$J$42,"emisiones",'6.1_Resultados Illes Balears'!E$71:E321)+DSUM('4.1_Electricidad Illes Balears'!$E$50:$K$70,"emisiones",'6.1_Resultados Illes Balears'!E$71:E321))/1000)-SUM(N$72:N320)</f>
        <v>0</v>
      </c>
      <c r="O321" s="504"/>
      <c r="P321" s="504">
        <f t="shared" si="7"/>
        <v>0</v>
      </c>
      <c r="Q321" s="504"/>
      <c r="R321" s="504"/>
    </row>
  </sheetData>
  <sheetProtection sheet="1" objects="1" scenarios="1"/>
  <mergeCells count="1057">
    <mergeCell ref="J26:K26"/>
    <mergeCell ref="A10:A11"/>
    <mergeCell ref="E11:M12"/>
    <mergeCell ref="A12:A13"/>
    <mergeCell ref="E14:F14"/>
    <mergeCell ref="E16:G16"/>
    <mergeCell ref="H16:I16"/>
    <mergeCell ref="J16:K16"/>
    <mergeCell ref="A17:A18"/>
    <mergeCell ref="E17:G17"/>
    <mergeCell ref="H17:I17"/>
    <mergeCell ref="J17:K17"/>
    <mergeCell ref="C1:U1"/>
    <mergeCell ref="E3:F3"/>
    <mergeCell ref="G3:S3"/>
    <mergeCell ref="A4:A5"/>
    <mergeCell ref="E5:F6"/>
    <mergeCell ref="G5:S6"/>
    <mergeCell ref="A6:A7"/>
    <mergeCell ref="A8:A9"/>
    <mergeCell ref="D8:U9"/>
    <mergeCell ref="E32:K32"/>
    <mergeCell ref="D34:U34"/>
    <mergeCell ref="E38:E40"/>
    <mergeCell ref="O65:O66"/>
    <mergeCell ref="P65:P66"/>
    <mergeCell ref="Q65:Q66"/>
    <mergeCell ref="D68:U68"/>
    <mergeCell ref="E27:G27"/>
    <mergeCell ref="H27:I27"/>
    <mergeCell ref="J27:K27"/>
    <mergeCell ref="F29:G29"/>
    <mergeCell ref="H29:I29"/>
    <mergeCell ref="J29:K29"/>
    <mergeCell ref="E31:G31"/>
    <mergeCell ref="H31:I31"/>
    <mergeCell ref="J31:K31"/>
    <mergeCell ref="E19:G19"/>
    <mergeCell ref="H19:I19"/>
    <mergeCell ref="J19:K19"/>
    <mergeCell ref="E21:L21"/>
    <mergeCell ref="E23:E26"/>
    <mergeCell ref="F23:G23"/>
    <mergeCell ref="H23:I23"/>
    <mergeCell ref="J23:K23"/>
    <mergeCell ref="F24:G24"/>
    <mergeCell ref="H24:I24"/>
    <mergeCell ref="J24:K24"/>
    <mergeCell ref="F25:G25"/>
    <mergeCell ref="H25:I25"/>
    <mergeCell ref="J25:K25"/>
    <mergeCell ref="F26:G26"/>
    <mergeCell ref="H26:I26"/>
    <mergeCell ref="N73:O73"/>
    <mergeCell ref="N75:O75"/>
    <mergeCell ref="N76:O76"/>
    <mergeCell ref="N77:O77"/>
    <mergeCell ref="N79:O79"/>
    <mergeCell ref="N74:O74"/>
    <mergeCell ref="I74:J74"/>
    <mergeCell ref="K74:M74"/>
    <mergeCell ref="I78:J78"/>
    <mergeCell ref="K78:M78"/>
    <mergeCell ref="N78:O78"/>
    <mergeCell ref="P78:R78"/>
    <mergeCell ref="I79:J79"/>
    <mergeCell ref="K79:M79"/>
    <mergeCell ref="P79:R79"/>
    <mergeCell ref="I80:J80"/>
    <mergeCell ref="K80:M80"/>
    <mergeCell ref="N80:O80"/>
    <mergeCell ref="P80:R80"/>
    <mergeCell ref="N91:O91"/>
    <mergeCell ref="N93:O93"/>
    <mergeCell ref="N97:O97"/>
    <mergeCell ref="I91:J91"/>
    <mergeCell ref="K91:M91"/>
    <mergeCell ref="P91:R91"/>
    <mergeCell ref="I92:J92"/>
    <mergeCell ref="K92:M92"/>
    <mergeCell ref="N92:O92"/>
    <mergeCell ref="P92:R92"/>
    <mergeCell ref="I93:J93"/>
    <mergeCell ref="K93:M93"/>
    <mergeCell ref="P93:R93"/>
    <mergeCell ref="I94:J94"/>
    <mergeCell ref="K94:M94"/>
    <mergeCell ref="N94:O94"/>
    <mergeCell ref="P94:R94"/>
    <mergeCell ref="N109:O109"/>
    <mergeCell ref="N111:O111"/>
    <mergeCell ref="N112:O112"/>
    <mergeCell ref="N113:O113"/>
    <mergeCell ref="I108:J108"/>
    <mergeCell ref="K108:M108"/>
    <mergeCell ref="N108:O108"/>
    <mergeCell ref="P108:R108"/>
    <mergeCell ref="I109:J109"/>
    <mergeCell ref="K109:M109"/>
    <mergeCell ref="P109:R109"/>
    <mergeCell ref="I110:J110"/>
    <mergeCell ref="K110:M110"/>
    <mergeCell ref="P110:R110"/>
    <mergeCell ref="I111:J111"/>
    <mergeCell ref="K111:M111"/>
    <mergeCell ref="P111:R111"/>
    <mergeCell ref="I112:J112"/>
    <mergeCell ref="N141:O141"/>
    <mergeCell ref="N145:O145"/>
    <mergeCell ref="K127:M127"/>
    <mergeCell ref="P127:R127"/>
    <mergeCell ref="I128:J128"/>
    <mergeCell ref="K128:M128"/>
    <mergeCell ref="N128:O128"/>
    <mergeCell ref="P128:R128"/>
    <mergeCell ref="N115:O115"/>
    <mergeCell ref="N117:O117"/>
    <mergeCell ref="N121:O121"/>
    <mergeCell ref="N123:O123"/>
    <mergeCell ref="I115:J115"/>
    <mergeCell ref="K115:M115"/>
    <mergeCell ref="P115:R115"/>
    <mergeCell ref="I116:J116"/>
    <mergeCell ref="K116:M116"/>
    <mergeCell ref="N116:O116"/>
    <mergeCell ref="P116:R116"/>
    <mergeCell ref="I117:J117"/>
    <mergeCell ref="K117:M117"/>
    <mergeCell ref="P117:R117"/>
    <mergeCell ref="I118:J118"/>
    <mergeCell ref="K118:M118"/>
    <mergeCell ref="N118:O118"/>
    <mergeCell ref="P118:R118"/>
    <mergeCell ref="I119:J119"/>
    <mergeCell ref="K119:M119"/>
    <mergeCell ref="N119:O119"/>
    <mergeCell ref="P119:R119"/>
    <mergeCell ref="I120:J120"/>
    <mergeCell ref="K120:M120"/>
    <mergeCell ref="N133:O133"/>
    <mergeCell ref="N135:O135"/>
    <mergeCell ref="N136:O136"/>
    <mergeCell ref="N137:O137"/>
    <mergeCell ref="N139:O139"/>
    <mergeCell ref="I135:J135"/>
    <mergeCell ref="K135:M135"/>
    <mergeCell ref="I139:J139"/>
    <mergeCell ref="K139:M139"/>
    <mergeCell ref="P135:R135"/>
    <mergeCell ref="I136:J136"/>
    <mergeCell ref="K136:M136"/>
    <mergeCell ref="P136:R136"/>
    <mergeCell ref="I137:J137"/>
    <mergeCell ref="K137:M137"/>
    <mergeCell ref="P137:R137"/>
    <mergeCell ref="I138:J138"/>
    <mergeCell ref="K138:M138"/>
    <mergeCell ref="N138:O138"/>
    <mergeCell ref="P138:R138"/>
    <mergeCell ref="K150:M150"/>
    <mergeCell ref="N150:O150"/>
    <mergeCell ref="P150:R150"/>
    <mergeCell ref="I151:J151"/>
    <mergeCell ref="K151:M151"/>
    <mergeCell ref="P151:R151"/>
    <mergeCell ref="I152:J152"/>
    <mergeCell ref="K152:M152"/>
    <mergeCell ref="N152:O152"/>
    <mergeCell ref="P152:R152"/>
    <mergeCell ref="I153:J153"/>
    <mergeCell ref="K153:M153"/>
    <mergeCell ref="P153:R153"/>
    <mergeCell ref="N144:O144"/>
    <mergeCell ref="P144:R144"/>
    <mergeCell ref="I145:J145"/>
    <mergeCell ref="K145:M145"/>
    <mergeCell ref="P145:R145"/>
    <mergeCell ref="I146:J146"/>
    <mergeCell ref="K146:M146"/>
    <mergeCell ref="P146:R146"/>
    <mergeCell ref="N147:O147"/>
    <mergeCell ref="N148:O148"/>
    <mergeCell ref="N169:O169"/>
    <mergeCell ref="N171:O171"/>
    <mergeCell ref="N172:O172"/>
    <mergeCell ref="N173:O173"/>
    <mergeCell ref="I168:J168"/>
    <mergeCell ref="K168:M168"/>
    <mergeCell ref="N168:O168"/>
    <mergeCell ref="P168:R168"/>
    <mergeCell ref="I169:J169"/>
    <mergeCell ref="K169:M169"/>
    <mergeCell ref="P169:R169"/>
    <mergeCell ref="I170:J170"/>
    <mergeCell ref="K170:M170"/>
    <mergeCell ref="P170:R170"/>
    <mergeCell ref="I171:J171"/>
    <mergeCell ref="K171:M171"/>
    <mergeCell ref="P171:R171"/>
    <mergeCell ref="I172:J172"/>
    <mergeCell ref="I71:J71"/>
    <mergeCell ref="K71:M71"/>
    <mergeCell ref="N71:O71"/>
    <mergeCell ref="P71:R71"/>
    <mergeCell ref="I72:J72"/>
    <mergeCell ref="K72:M72"/>
    <mergeCell ref="N72:O72"/>
    <mergeCell ref="P72:R72"/>
    <mergeCell ref="I73:J73"/>
    <mergeCell ref="K73:M73"/>
    <mergeCell ref="P73:R73"/>
    <mergeCell ref="N158:O158"/>
    <mergeCell ref="N170:O170"/>
    <mergeCell ref="N182:O182"/>
    <mergeCell ref="N194:O194"/>
    <mergeCell ref="N98:O98"/>
    <mergeCell ref="N110:O110"/>
    <mergeCell ref="N122:O122"/>
    <mergeCell ref="N134:O134"/>
    <mergeCell ref="N146:O146"/>
    <mergeCell ref="N184:O184"/>
    <mergeCell ref="N185:O185"/>
    <mergeCell ref="N187:O187"/>
    <mergeCell ref="N193:O193"/>
    <mergeCell ref="I193:J193"/>
    <mergeCell ref="K193:M193"/>
    <mergeCell ref="N189:O189"/>
    <mergeCell ref="N175:O175"/>
    <mergeCell ref="N177:O177"/>
    <mergeCell ref="N181:O181"/>
    <mergeCell ref="N183:O183"/>
    <mergeCell ref="I175:J175"/>
    <mergeCell ref="K81:M81"/>
    <mergeCell ref="P81:R81"/>
    <mergeCell ref="P74:R74"/>
    <mergeCell ref="I75:J75"/>
    <mergeCell ref="K75:M75"/>
    <mergeCell ref="P75:R75"/>
    <mergeCell ref="I76:J76"/>
    <mergeCell ref="K76:M76"/>
    <mergeCell ref="P76:R76"/>
    <mergeCell ref="I77:J77"/>
    <mergeCell ref="K77:M77"/>
    <mergeCell ref="P77:R77"/>
    <mergeCell ref="N81:O81"/>
    <mergeCell ref="I88:J88"/>
    <mergeCell ref="K88:M88"/>
    <mergeCell ref="P88:R88"/>
    <mergeCell ref="I89:J89"/>
    <mergeCell ref="K89:M89"/>
    <mergeCell ref="P89:R89"/>
    <mergeCell ref="I82:J82"/>
    <mergeCell ref="K82:M82"/>
    <mergeCell ref="N82:O82"/>
    <mergeCell ref="P82:R82"/>
    <mergeCell ref="I83:J83"/>
    <mergeCell ref="K83:M83"/>
    <mergeCell ref="N83:O83"/>
    <mergeCell ref="P83:R83"/>
    <mergeCell ref="I84:J84"/>
    <mergeCell ref="K84:M84"/>
    <mergeCell ref="N84:O84"/>
    <mergeCell ref="P84:R84"/>
    <mergeCell ref="I81:J81"/>
    <mergeCell ref="I90:J90"/>
    <mergeCell ref="K90:M90"/>
    <mergeCell ref="N90:O90"/>
    <mergeCell ref="P90:R90"/>
    <mergeCell ref="I85:J85"/>
    <mergeCell ref="K85:M85"/>
    <mergeCell ref="P85:R85"/>
    <mergeCell ref="I86:J86"/>
    <mergeCell ref="K86:M86"/>
    <mergeCell ref="P86:R86"/>
    <mergeCell ref="I87:J87"/>
    <mergeCell ref="K87:M87"/>
    <mergeCell ref="P87:R87"/>
    <mergeCell ref="N89:O89"/>
    <mergeCell ref="N85:O85"/>
    <mergeCell ref="N87:O87"/>
    <mergeCell ref="N88:O88"/>
    <mergeCell ref="N86:O86"/>
    <mergeCell ref="I98:J98"/>
    <mergeCell ref="K98:M98"/>
    <mergeCell ref="P98:R98"/>
    <mergeCell ref="I99:J99"/>
    <mergeCell ref="K99:M99"/>
    <mergeCell ref="P99:R99"/>
    <mergeCell ref="I100:J100"/>
    <mergeCell ref="K100:M100"/>
    <mergeCell ref="P100:R100"/>
    <mergeCell ref="I95:J95"/>
    <mergeCell ref="K95:M95"/>
    <mergeCell ref="N95:O95"/>
    <mergeCell ref="P95:R95"/>
    <mergeCell ref="I96:J96"/>
    <mergeCell ref="K96:M96"/>
    <mergeCell ref="N96:O96"/>
    <mergeCell ref="P96:R96"/>
    <mergeCell ref="I97:J97"/>
    <mergeCell ref="K97:M97"/>
    <mergeCell ref="P97:R97"/>
    <mergeCell ref="N99:O99"/>
    <mergeCell ref="N100:O100"/>
    <mergeCell ref="P105:R105"/>
    <mergeCell ref="I106:J106"/>
    <mergeCell ref="K106:M106"/>
    <mergeCell ref="N106:O106"/>
    <mergeCell ref="P106:R106"/>
    <mergeCell ref="I107:J107"/>
    <mergeCell ref="K107:M107"/>
    <mergeCell ref="N107:O107"/>
    <mergeCell ref="P107:R107"/>
    <mergeCell ref="P101:R101"/>
    <mergeCell ref="I102:J102"/>
    <mergeCell ref="K102:M102"/>
    <mergeCell ref="N102:O102"/>
    <mergeCell ref="P102:R102"/>
    <mergeCell ref="I103:J103"/>
    <mergeCell ref="K103:M103"/>
    <mergeCell ref="P103:R103"/>
    <mergeCell ref="I104:J104"/>
    <mergeCell ref="K104:M104"/>
    <mergeCell ref="N104:O104"/>
    <mergeCell ref="P104:R104"/>
    <mergeCell ref="N101:O101"/>
    <mergeCell ref="N103:O103"/>
    <mergeCell ref="N105:O105"/>
    <mergeCell ref="I101:J101"/>
    <mergeCell ref="K101:M101"/>
    <mergeCell ref="I105:J105"/>
    <mergeCell ref="K105:M105"/>
    <mergeCell ref="I121:J121"/>
    <mergeCell ref="K121:M121"/>
    <mergeCell ref="P121:R121"/>
    <mergeCell ref="K112:M112"/>
    <mergeCell ref="P112:R112"/>
    <mergeCell ref="I113:J113"/>
    <mergeCell ref="K113:M113"/>
    <mergeCell ref="P113:R113"/>
    <mergeCell ref="I114:J114"/>
    <mergeCell ref="K114:M114"/>
    <mergeCell ref="N114:O114"/>
    <mergeCell ref="P114:R114"/>
    <mergeCell ref="I129:J129"/>
    <mergeCell ref="K129:M129"/>
    <mergeCell ref="P129:R129"/>
    <mergeCell ref="I130:J130"/>
    <mergeCell ref="K130:M130"/>
    <mergeCell ref="N130:O130"/>
    <mergeCell ref="P130:R130"/>
    <mergeCell ref="N120:O120"/>
    <mergeCell ref="P120:R120"/>
    <mergeCell ref="I131:J131"/>
    <mergeCell ref="K131:M131"/>
    <mergeCell ref="N131:O131"/>
    <mergeCell ref="P131:R131"/>
    <mergeCell ref="I122:J122"/>
    <mergeCell ref="K122:M122"/>
    <mergeCell ref="P122:R122"/>
    <mergeCell ref="I123:J123"/>
    <mergeCell ref="K123:M123"/>
    <mergeCell ref="P123:R123"/>
    <mergeCell ref="I124:J124"/>
    <mergeCell ref="K124:M124"/>
    <mergeCell ref="P124:R124"/>
    <mergeCell ref="N124:O124"/>
    <mergeCell ref="N125:O125"/>
    <mergeCell ref="N127:O127"/>
    <mergeCell ref="N129:O129"/>
    <mergeCell ref="I125:J125"/>
    <mergeCell ref="K125:M125"/>
    <mergeCell ref="P125:R125"/>
    <mergeCell ref="I126:J126"/>
    <mergeCell ref="K126:M126"/>
    <mergeCell ref="N126:O126"/>
    <mergeCell ref="P126:R126"/>
    <mergeCell ref="I127:J127"/>
    <mergeCell ref="I132:J132"/>
    <mergeCell ref="K132:M132"/>
    <mergeCell ref="N132:O132"/>
    <mergeCell ref="P132:R132"/>
    <mergeCell ref="I133:J133"/>
    <mergeCell ref="K133:M133"/>
    <mergeCell ref="P133:R133"/>
    <mergeCell ref="I134:J134"/>
    <mergeCell ref="K134:M134"/>
    <mergeCell ref="P134:R134"/>
    <mergeCell ref="I147:J147"/>
    <mergeCell ref="K147:M147"/>
    <mergeCell ref="P147:R147"/>
    <mergeCell ref="I148:J148"/>
    <mergeCell ref="K148:M148"/>
    <mergeCell ref="P148:R148"/>
    <mergeCell ref="I149:J149"/>
    <mergeCell ref="K149:M149"/>
    <mergeCell ref="P149:R149"/>
    <mergeCell ref="P139:R139"/>
    <mergeCell ref="I140:J140"/>
    <mergeCell ref="K140:M140"/>
    <mergeCell ref="N140:O140"/>
    <mergeCell ref="P140:R140"/>
    <mergeCell ref="I141:J141"/>
    <mergeCell ref="K141:M141"/>
    <mergeCell ref="P141:R141"/>
    <mergeCell ref="I142:J142"/>
    <mergeCell ref="K142:M142"/>
    <mergeCell ref="N142:O142"/>
    <mergeCell ref="P142:R142"/>
    <mergeCell ref="N149:O149"/>
    <mergeCell ref="I143:J143"/>
    <mergeCell ref="K143:M143"/>
    <mergeCell ref="N143:O143"/>
    <mergeCell ref="P143:R143"/>
    <mergeCell ref="I144:J144"/>
    <mergeCell ref="K144:M144"/>
    <mergeCell ref="I157:J157"/>
    <mergeCell ref="K157:M157"/>
    <mergeCell ref="P157:R157"/>
    <mergeCell ref="I158:J158"/>
    <mergeCell ref="K158:M158"/>
    <mergeCell ref="P158:R158"/>
    <mergeCell ref="I159:J159"/>
    <mergeCell ref="K159:M159"/>
    <mergeCell ref="P159:R159"/>
    <mergeCell ref="I154:J154"/>
    <mergeCell ref="K154:M154"/>
    <mergeCell ref="N154:O154"/>
    <mergeCell ref="P154:R154"/>
    <mergeCell ref="I155:J155"/>
    <mergeCell ref="K155:M155"/>
    <mergeCell ref="N155:O155"/>
    <mergeCell ref="P155:R155"/>
    <mergeCell ref="I156:J156"/>
    <mergeCell ref="K156:M156"/>
    <mergeCell ref="N156:O156"/>
    <mergeCell ref="P156:R156"/>
    <mergeCell ref="N159:O159"/>
    <mergeCell ref="N151:O151"/>
    <mergeCell ref="N153:O153"/>
    <mergeCell ref="N157:O157"/>
    <mergeCell ref="I150:J150"/>
    <mergeCell ref="P164:R164"/>
    <mergeCell ref="I165:J165"/>
    <mergeCell ref="K165:M165"/>
    <mergeCell ref="P165:R165"/>
    <mergeCell ref="I166:J166"/>
    <mergeCell ref="K166:M166"/>
    <mergeCell ref="N166:O166"/>
    <mergeCell ref="P166:R166"/>
    <mergeCell ref="I167:J167"/>
    <mergeCell ref="K167:M167"/>
    <mergeCell ref="N167:O167"/>
    <mergeCell ref="P167:R167"/>
    <mergeCell ref="P160:R160"/>
    <mergeCell ref="I161:J161"/>
    <mergeCell ref="K161:M161"/>
    <mergeCell ref="P161:R161"/>
    <mergeCell ref="I162:J162"/>
    <mergeCell ref="K162:M162"/>
    <mergeCell ref="N162:O162"/>
    <mergeCell ref="P162:R162"/>
    <mergeCell ref="I163:J163"/>
    <mergeCell ref="K163:M163"/>
    <mergeCell ref="P163:R163"/>
    <mergeCell ref="N160:O160"/>
    <mergeCell ref="N161:O161"/>
    <mergeCell ref="N163:O163"/>
    <mergeCell ref="N165:O165"/>
    <mergeCell ref="I160:J160"/>
    <mergeCell ref="K160:M160"/>
    <mergeCell ref="I164:J164"/>
    <mergeCell ref="K164:M164"/>
    <mergeCell ref="N164:O164"/>
    <mergeCell ref="I178:J178"/>
    <mergeCell ref="K178:M178"/>
    <mergeCell ref="N178:O178"/>
    <mergeCell ref="P178:R178"/>
    <mergeCell ref="I179:J179"/>
    <mergeCell ref="K179:M179"/>
    <mergeCell ref="N179:O179"/>
    <mergeCell ref="P179:R179"/>
    <mergeCell ref="I180:J180"/>
    <mergeCell ref="K180:M180"/>
    <mergeCell ref="N180:O180"/>
    <mergeCell ref="P180:R180"/>
    <mergeCell ref="K172:M172"/>
    <mergeCell ref="P172:R172"/>
    <mergeCell ref="I173:J173"/>
    <mergeCell ref="K173:M173"/>
    <mergeCell ref="P173:R173"/>
    <mergeCell ref="I174:J174"/>
    <mergeCell ref="K174:M174"/>
    <mergeCell ref="N174:O174"/>
    <mergeCell ref="P174:R174"/>
    <mergeCell ref="K175:M175"/>
    <mergeCell ref="P175:R175"/>
    <mergeCell ref="I176:J176"/>
    <mergeCell ref="K176:M176"/>
    <mergeCell ref="N176:O176"/>
    <mergeCell ref="P176:R176"/>
    <mergeCell ref="I177:J177"/>
    <mergeCell ref="K177:M177"/>
    <mergeCell ref="P177:R177"/>
    <mergeCell ref="I184:J184"/>
    <mergeCell ref="K184:M184"/>
    <mergeCell ref="P184:R184"/>
    <mergeCell ref="I185:J185"/>
    <mergeCell ref="K185:M185"/>
    <mergeCell ref="P185:R185"/>
    <mergeCell ref="I186:J186"/>
    <mergeCell ref="K186:M186"/>
    <mergeCell ref="N186:O186"/>
    <mergeCell ref="P186:R186"/>
    <mergeCell ref="I181:J181"/>
    <mergeCell ref="K181:M181"/>
    <mergeCell ref="P181:R181"/>
    <mergeCell ref="I182:J182"/>
    <mergeCell ref="K182:M182"/>
    <mergeCell ref="P182:R182"/>
    <mergeCell ref="I183:J183"/>
    <mergeCell ref="K183:M183"/>
    <mergeCell ref="P183:R183"/>
    <mergeCell ref="I190:J190"/>
    <mergeCell ref="K190:M190"/>
    <mergeCell ref="N190:O190"/>
    <mergeCell ref="P190:R190"/>
    <mergeCell ref="I191:J191"/>
    <mergeCell ref="K191:M191"/>
    <mergeCell ref="N191:O191"/>
    <mergeCell ref="P191:R191"/>
    <mergeCell ref="I192:J192"/>
    <mergeCell ref="K192:M192"/>
    <mergeCell ref="N192:O192"/>
    <mergeCell ref="P192:R192"/>
    <mergeCell ref="I187:J187"/>
    <mergeCell ref="K187:M187"/>
    <mergeCell ref="P187:R187"/>
    <mergeCell ref="I188:J188"/>
    <mergeCell ref="K188:M188"/>
    <mergeCell ref="N188:O188"/>
    <mergeCell ref="P188:R188"/>
    <mergeCell ref="I189:J189"/>
    <mergeCell ref="K189:M189"/>
    <mergeCell ref="P189:R189"/>
    <mergeCell ref="P197:R197"/>
    <mergeCell ref="I198:J198"/>
    <mergeCell ref="K198:M198"/>
    <mergeCell ref="N198:O198"/>
    <mergeCell ref="P198:R198"/>
    <mergeCell ref="I199:J199"/>
    <mergeCell ref="K199:M199"/>
    <mergeCell ref="P199:R199"/>
    <mergeCell ref="I200:J200"/>
    <mergeCell ref="K200:M200"/>
    <mergeCell ref="N200:O200"/>
    <mergeCell ref="P200:R200"/>
    <mergeCell ref="P193:R193"/>
    <mergeCell ref="I194:J194"/>
    <mergeCell ref="K194:M194"/>
    <mergeCell ref="P194:R194"/>
    <mergeCell ref="I195:J195"/>
    <mergeCell ref="K195:M195"/>
    <mergeCell ref="P195:R195"/>
    <mergeCell ref="I196:J196"/>
    <mergeCell ref="K196:M196"/>
    <mergeCell ref="P196:R196"/>
    <mergeCell ref="N195:O195"/>
    <mergeCell ref="N196:O196"/>
    <mergeCell ref="N197:O197"/>
    <mergeCell ref="N199:O199"/>
    <mergeCell ref="I197:J197"/>
    <mergeCell ref="K197:M197"/>
    <mergeCell ref="I204:J204"/>
    <mergeCell ref="K204:M204"/>
    <mergeCell ref="N204:O204"/>
    <mergeCell ref="P204:R204"/>
    <mergeCell ref="I205:J205"/>
    <mergeCell ref="K205:M205"/>
    <mergeCell ref="N205:O205"/>
    <mergeCell ref="P205:R205"/>
    <mergeCell ref="I206:J206"/>
    <mergeCell ref="K206:M206"/>
    <mergeCell ref="N206:O206"/>
    <mergeCell ref="P206:R206"/>
    <mergeCell ref="P201:R201"/>
    <mergeCell ref="I202:J202"/>
    <mergeCell ref="K202:M202"/>
    <mergeCell ref="N202:O202"/>
    <mergeCell ref="P202:R202"/>
    <mergeCell ref="I203:J203"/>
    <mergeCell ref="K203:M203"/>
    <mergeCell ref="N203:O203"/>
    <mergeCell ref="P203:R203"/>
    <mergeCell ref="N201:O201"/>
    <mergeCell ref="I201:J201"/>
    <mergeCell ref="K201:M201"/>
    <mergeCell ref="I210:J210"/>
    <mergeCell ref="K210:M210"/>
    <mergeCell ref="N210:O210"/>
    <mergeCell ref="P210:R210"/>
    <mergeCell ref="I211:J211"/>
    <mergeCell ref="K211:M211"/>
    <mergeCell ref="N211:O211"/>
    <mergeCell ref="P211:R211"/>
    <mergeCell ref="I212:J212"/>
    <mergeCell ref="K212:M212"/>
    <mergeCell ref="N212:O212"/>
    <mergeCell ref="P212:R212"/>
    <mergeCell ref="I207:J207"/>
    <mergeCell ref="K207:M207"/>
    <mergeCell ref="N207:O207"/>
    <mergeCell ref="P207:R207"/>
    <mergeCell ref="I208:J208"/>
    <mergeCell ref="K208:M208"/>
    <mergeCell ref="N208:O208"/>
    <mergeCell ref="P208:R208"/>
    <mergeCell ref="I209:J209"/>
    <mergeCell ref="K209:M209"/>
    <mergeCell ref="N209:O209"/>
    <mergeCell ref="P209:R209"/>
    <mergeCell ref="I216:J216"/>
    <mergeCell ref="K216:M216"/>
    <mergeCell ref="N216:O216"/>
    <mergeCell ref="P216:R216"/>
    <mergeCell ref="I217:J217"/>
    <mergeCell ref="K217:M217"/>
    <mergeCell ref="N217:O217"/>
    <mergeCell ref="P217:R217"/>
    <mergeCell ref="I218:J218"/>
    <mergeCell ref="K218:M218"/>
    <mergeCell ref="N218:O218"/>
    <mergeCell ref="P218:R218"/>
    <mergeCell ref="I213:J213"/>
    <mergeCell ref="K213:M213"/>
    <mergeCell ref="N213:O213"/>
    <mergeCell ref="P213:R213"/>
    <mergeCell ref="I214:J214"/>
    <mergeCell ref="K214:M214"/>
    <mergeCell ref="N214:O214"/>
    <mergeCell ref="P214:R214"/>
    <mergeCell ref="I215:J215"/>
    <mergeCell ref="K215:M215"/>
    <mergeCell ref="N215:O215"/>
    <mergeCell ref="P215:R215"/>
    <mergeCell ref="I222:J222"/>
    <mergeCell ref="K222:M222"/>
    <mergeCell ref="N222:O222"/>
    <mergeCell ref="P222:R222"/>
    <mergeCell ref="I223:J223"/>
    <mergeCell ref="K223:M223"/>
    <mergeCell ref="N223:O223"/>
    <mergeCell ref="P223:R223"/>
    <mergeCell ref="I224:J224"/>
    <mergeCell ref="K224:M224"/>
    <mergeCell ref="N224:O224"/>
    <mergeCell ref="P224:R224"/>
    <mergeCell ref="I219:J219"/>
    <mergeCell ref="K219:M219"/>
    <mergeCell ref="N219:O219"/>
    <mergeCell ref="P219:R219"/>
    <mergeCell ref="I220:J220"/>
    <mergeCell ref="K220:M220"/>
    <mergeCell ref="N220:O220"/>
    <mergeCell ref="P220:R220"/>
    <mergeCell ref="I221:J221"/>
    <mergeCell ref="K221:M221"/>
    <mergeCell ref="N221:O221"/>
    <mergeCell ref="P221:R221"/>
    <mergeCell ref="I228:J228"/>
    <mergeCell ref="K228:M228"/>
    <mergeCell ref="N228:O228"/>
    <mergeCell ref="P228:R228"/>
    <mergeCell ref="I229:J229"/>
    <mergeCell ref="K229:M229"/>
    <mergeCell ref="N229:O229"/>
    <mergeCell ref="P229:R229"/>
    <mergeCell ref="I230:J230"/>
    <mergeCell ref="K230:M230"/>
    <mergeCell ref="N230:O230"/>
    <mergeCell ref="P230:R230"/>
    <mergeCell ref="I225:J225"/>
    <mergeCell ref="K225:M225"/>
    <mergeCell ref="N225:O225"/>
    <mergeCell ref="P225:R225"/>
    <mergeCell ref="I226:J226"/>
    <mergeCell ref="K226:M226"/>
    <mergeCell ref="N226:O226"/>
    <mergeCell ref="P226:R226"/>
    <mergeCell ref="I227:J227"/>
    <mergeCell ref="K227:M227"/>
    <mergeCell ref="N227:O227"/>
    <mergeCell ref="P227:R227"/>
    <mergeCell ref="I234:J234"/>
    <mergeCell ref="K234:M234"/>
    <mergeCell ref="N234:O234"/>
    <mergeCell ref="P234:R234"/>
    <mergeCell ref="I235:J235"/>
    <mergeCell ref="K235:M235"/>
    <mergeCell ref="N235:O235"/>
    <mergeCell ref="P235:R235"/>
    <mergeCell ref="I236:J236"/>
    <mergeCell ref="K236:M236"/>
    <mergeCell ref="N236:O236"/>
    <mergeCell ref="P236:R236"/>
    <mergeCell ref="I231:J231"/>
    <mergeCell ref="K231:M231"/>
    <mergeCell ref="N231:O231"/>
    <mergeCell ref="P231:R231"/>
    <mergeCell ref="I232:J232"/>
    <mergeCell ref="K232:M232"/>
    <mergeCell ref="N232:O232"/>
    <mergeCell ref="P232:R232"/>
    <mergeCell ref="I233:J233"/>
    <mergeCell ref="K233:M233"/>
    <mergeCell ref="N233:O233"/>
    <mergeCell ref="P233:R233"/>
    <mergeCell ref="I240:J240"/>
    <mergeCell ref="K240:M240"/>
    <mergeCell ref="N240:O240"/>
    <mergeCell ref="P240:R240"/>
    <mergeCell ref="I241:J241"/>
    <mergeCell ref="K241:M241"/>
    <mergeCell ref="N241:O241"/>
    <mergeCell ref="P241:R241"/>
    <mergeCell ref="I242:J242"/>
    <mergeCell ref="K242:M242"/>
    <mergeCell ref="N242:O242"/>
    <mergeCell ref="P242:R242"/>
    <mergeCell ref="I237:J237"/>
    <mergeCell ref="K237:M237"/>
    <mergeCell ref="N237:O237"/>
    <mergeCell ref="P237:R237"/>
    <mergeCell ref="I238:J238"/>
    <mergeCell ref="K238:M238"/>
    <mergeCell ref="N238:O238"/>
    <mergeCell ref="P238:R238"/>
    <mergeCell ref="I239:J239"/>
    <mergeCell ref="K239:M239"/>
    <mergeCell ref="N239:O239"/>
    <mergeCell ref="P239:R239"/>
    <mergeCell ref="I246:J246"/>
    <mergeCell ref="K246:M246"/>
    <mergeCell ref="N246:O246"/>
    <mergeCell ref="P246:R246"/>
    <mergeCell ref="I247:J247"/>
    <mergeCell ref="K247:M247"/>
    <mergeCell ref="N247:O247"/>
    <mergeCell ref="P247:R247"/>
    <mergeCell ref="I248:J248"/>
    <mergeCell ref="K248:M248"/>
    <mergeCell ref="N248:O248"/>
    <mergeCell ref="P248:R248"/>
    <mergeCell ref="I243:J243"/>
    <mergeCell ref="K243:M243"/>
    <mergeCell ref="N243:O243"/>
    <mergeCell ref="P243:R243"/>
    <mergeCell ref="I244:J244"/>
    <mergeCell ref="K244:M244"/>
    <mergeCell ref="N244:O244"/>
    <mergeCell ref="P244:R244"/>
    <mergeCell ref="I245:J245"/>
    <mergeCell ref="K245:M245"/>
    <mergeCell ref="N245:O245"/>
    <mergeCell ref="P245:R245"/>
    <mergeCell ref="I252:J252"/>
    <mergeCell ref="K252:M252"/>
    <mergeCell ref="N252:O252"/>
    <mergeCell ref="P252:R252"/>
    <mergeCell ref="I253:J253"/>
    <mergeCell ref="K253:M253"/>
    <mergeCell ref="N253:O253"/>
    <mergeCell ref="P253:R253"/>
    <mergeCell ref="I254:J254"/>
    <mergeCell ref="K254:M254"/>
    <mergeCell ref="N254:O254"/>
    <mergeCell ref="P254:R254"/>
    <mergeCell ref="I249:J249"/>
    <mergeCell ref="K249:M249"/>
    <mergeCell ref="N249:O249"/>
    <mergeCell ref="P249:R249"/>
    <mergeCell ref="I250:J250"/>
    <mergeCell ref="K250:M250"/>
    <mergeCell ref="N250:O250"/>
    <mergeCell ref="P250:R250"/>
    <mergeCell ref="I251:J251"/>
    <mergeCell ref="K251:M251"/>
    <mergeCell ref="N251:O251"/>
    <mergeCell ref="P251:R251"/>
    <mergeCell ref="I258:J258"/>
    <mergeCell ref="K258:M258"/>
    <mergeCell ref="N258:O258"/>
    <mergeCell ref="P258:R258"/>
    <mergeCell ref="I259:J259"/>
    <mergeCell ref="K259:M259"/>
    <mergeCell ref="N259:O259"/>
    <mergeCell ref="P259:R259"/>
    <mergeCell ref="I260:J260"/>
    <mergeCell ref="K260:M260"/>
    <mergeCell ref="N260:O260"/>
    <mergeCell ref="P260:R260"/>
    <mergeCell ref="I255:J255"/>
    <mergeCell ref="K255:M255"/>
    <mergeCell ref="N255:O255"/>
    <mergeCell ref="P255:R255"/>
    <mergeCell ref="I256:J256"/>
    <mergeCell ref="K256:M256"/>
    <mergeCell ref="N256:O256"/>
    <mergeCell ref="P256:R256"/>
    <mergeCell ref="I257:J257"/>
    <mergeCell ref="K257:M257"/>
    <mergeCell ref="N257:O257"/>
    <mergeCell ref="P257:R257"/>
    <mergeCell ref="I264:J264"/>
    <mergeCell ref="K264:M264"/>
    <mergeCell ref="N264:O264"/>
    <mergeCell ref="P264:R264"/>
    <mergeCell ref="I265:J265"/>
    <mergeCell ref="K265:M265"/>
    <mergeCell ref="N265:O265"/>
    <mergeCell ref="P265:R265"/>
    <mergeCell ref="I266:J266"/>
    <mergeCell ref="K266:M266"/>
    <mergeCell ref="N266:O266"/>
    <mergeCell ref="P266:R266"/>
    <mergeCell ref="I261:J261"/>
    <mergeCell ref="K261:M261"/>
    <mergeCell ref="N261:O261"/>
    <mergeCell ref="P261:R261"/>
    <mergeCell ref="I262:J262"/>
    <mergeCell ref="K262:M262"/>
    <mergeCell ref="N262:O262"/>
    <mergeCell ref="P262:R262"/>
    <mergeCell ref="I263:J263"/>
    <mergeCell ref="K263:M263"/>
    <mergeCell ref="N263:O263"/>
    <mergeCell ref="P263:R263"/>
    <mergeCell ref="I270:J270"/>
    <mergeCell ref="K270:M270"/>
    <mergeCell ref="N270:O270"/>
    <mergeCell ref="P270:R270"/>
    <mergeCell ref="I271:J271"/>
    <mergeCell ref="K271:M271"/>
    <mergeCell ref="N271:O271"/>
    <mergeCell ref="P271:R271"/>
    <mergeCell ref="I272:J272"/>
    <mergeCell ref="K272:M272"/>
    <mergeCell ref="N272:O272"/>
    <mergeCell ref="P272:R272"/>
    <mergeCell ref="I267:J267"/>
    <mergeCell ref="K267:M267"/>
    <mergeCell ref="N267:O267"/>
    <mergeCell ref="P267:R267"/>
    <mergeCell ref="I268:J268"/>
    <mergeCell ref="K268:M268"/>
    <mergeCell ref="N268:O268"/>
    <mergeCell ref="P268:R268"/>
    <mergeCell ref="I269:J269"/>
    <mergeCell ref="K269:M269"/>
    <mergeCell ref="N269:O269"/>
    <mergeCell ref="P269:R269"/>
    <mergeCell ref="I276:J276"/>
    <mergeCell ref="K276:M276"/>
    <mergeCell ref="N276:O276"/>
    <mergeCell ref="P276:R276"/>
    <mergeCell ref="I277:J277"/>
    <mergeCell ref="K277:M277"/>
    <mergeCell ref="N277:O277"/>
    <mergeCell ref="P277:R277"/>
    <mergeCell ref="I278:J278"/>
    <mergeCell ref="K278:M278"/>
    <mergeCell ref="N278:O278"/>
    <mergeCell ref="P278:R278"/>
    <mergeCell ref="I273:J273"/>
    <mergeCell ref="K273:M273"/>
    <mergeCell ref="N273:O273"/>
    <mergeCell ref="P273:R273"/>
    <mergeCell ref="I274:J274"/>
    <mergeCell ref="K274:M274"/>
    <mergeCell ref="N274:O274"/>
    <mergeCell ref="P274:R274"/>
    <mergeCell ref="I275:J275"/>
    <mergeCell ref="K275:M275"/>
    <mergeCell ref="N275:O275"/>
    <mergeCell ref="P275:R275"/>
    <mergeCell ref="I282:J282"/>
    <mergeCell ref="K282:M282"/>
    <mergeCell ref="N282:O282"/>
    <mergeCell ref="P282:R282"/>
    <mergeCell ref="I283:J283"/>
    <mergeCell ref="K283:M283"/>
    <mergeCell ref="N283:O283"/>
    <mergeCell ref="P283:R283"/>
    <mergeCell ref="I284:J284"/>
    <mergeCell ref="K284:M284"/>
    <mergeCell ref="N284:O284"/>
    <mergeCell ref="P284:R284"/>
    <mergeCell ref="I279:J279"/>
    <mergeCell ref="K279:M279"/>
    <mergeCell ref="N279:O279"/>
    <mergeCell ref="P279:R279"/>
    <mergeCell ref="I280:J280"/>
    <mergeCell ref="K280:M280"/>
    <mergeCell ref="N280:O280"/>
    <mergeCell ref="P280:R280"/>
    <mergeCell ref="I281:J281"/>
    <mergeCell ref="K281:M281"/>
    <mergeCell ref="N281:O281"/>
    <mergeCell ref="P281:R281"/>
    <mergeCell ref="I288:J288"/>
    <mergeCell ref="K288:M288"/>
    <mergeCell ref="N288:O288"/>
    <mergeCell ref="P288:R288"/>
    <mergeCell ref="I289:J289"/>
    <mergeCell ref="K289:M289"/>
    <mergeCell ref="N289:O289"/>
    <mergeCell ref="P289:R289"/>
    <mergeCell ref="I290:J290"/>
    <mergeCell ref="K290:M290"/>
    <mergeCell ref="N290:O290"/>
    <mergeCell ref="P290:R290"/>
    <mergeCell ref="I285:J285"/>
    <mergeCell ref="K285:M285"/>
    <mergeCell ref="N285:O285"/>
    <mergeCell ref="P285:R285"/>
    <mergeCell ref="I286:J286"/>
    <mergeCell ref="K286:M286"/>
    <mergeCell ref="N286:O286"/>
    <mergeCell ref="P286:R286"/>
    <mergeCell ref="I287:J287"/>
    <mergeCell ref="K287:M287"/>
    <mergeCell ref="N287:O287"/>
    <mergeCell ref="P287:R287"/>
    <mergeCell ref="I294:J294"/>
    <mergeCell ref="K294:M294"/>
    <mergeCell ref="N294:O294"/>
    <mergeCell ref="P294:R294"/>
    <mergeCell ref="I295:J295"/>
    <mergeCell ref="K295:M295"/>
    <mergeCell ref="N295:O295"/>
    <mergeCell ref="P295:R295"/>
    <mergeCell ref="I296:J296"/>
    <mergeCell ref="K296:M296"/>
    <mergeCell ref="N296:O296"/>
    <mergeCell ref="P296:R296"/>
    <mergeCell ref="I291:J291"/>
    <mergeCell ref="K291:M291"/>
    <mergeCell ref="N291:O291"/>
    <mergeCell ref="P291:R291"/>
    <mergeCell ref="I292:J292"/>
    <mergeCell ref="K292:M292"/>
    <mergeCell ref="N292:O292"/>
    <mergeCell ref="P292:R292"/>
    <mergeCell ref="I293:J293"/>
    <mergeCell ref="K293:M293"/>
    <mergeCell ref="N293:O293"/>
    <mergeCell ref="P293:R293"/>
    <mergeCell ref="I300:J300"/>
    <mergeCell ref="K300:M300"/>
    <mergeCell ref="N300:O300"/>
    <mergeCell ref="P300:R300"/>
    <mergeCell ref="I301:J301"/>
    <mergeCell ref="K301:M301"/>
    <mergeCell ref="N301:O301"/>
    <mergeCell ref="P301:R301"/>
    <mergeCell ref="I302:J302"/>
    <mergeCell ref="K302:M302"/>
    <mergeCell ref="N302:O302"/>
    <mergeCell ref="P302:R302"/>
    <mergeCell ref="I297:J297"/>
    <mergeCell ref="K297:M297"/>
    <mergeCell ref="N297:O297"/>
    <mergeCell ref="P297:R297"/>
    <mergeCell ref="I298:J298"/>
    <mergeCell ref="K298:M298"/>
    <mergeCell ref="N298:O298"/>
    <mergeCell ref="P298:R298"/>
    <mergeCell ref="I299:J299"/>
    <mergeCell ref="K299:M299"/>
    <mergeCell ref="N299:O299"/>
    <mergeCell ref="P299:R299"/>
    <mergeCell ref="I306:J306"/>
    <mergeCell ref="K306:M306"/>
    <mergeCell ref="N306:O306"/>
    <mergeCell ref="P306:R306"/>
    <mergeCell ref="I307:J307"/>
    <mergeCell ref="K307:M307"/>
    <mergeCell ref="N307:O307"/>
    <mergeCell ref="P307:R307"/>
    <mergeCell ref="I308:J308"/>
    <mergeCell ref="K308:M308"/>
    <mergeCell ref="N308:O308"/>
    <mergeCell ref="P308:R308"/>
    <mergeCell ref="I303:J303"/>
    <mergeCell ref="K303:M303"/>
    <mergeCell ref="N303:O303"/>
    <mergeCell ref="P303:R303"/>
    <mergeCell ref="I304:J304"/>
    <mergeCell ref="K304:M304"/>
    <mergeCell ref="N304:O304"/>
    <mergeCell ref="P304:R304"/>
    <mergeCell ref="I305:J305"/>
    <mergeCell ref="K305:M305"/>
    <mergeCell ref="N305:O305"/>
    <mergeCell ref="P305:R305"/>
    <mergeCell ref="I312:J312"/>
    <mergeCell ref="K312:M312"/>
    <mergeCell ref="N312:O312"/>
    <mergeCell ref="P312:R312"/>
    <mergeCell ref="I313:J313"/>
    <mergeCell ref="K313:M313"/>
    <mergeCell ref="N313:O313"/>
    <mergeCell ref="P313:R313"/>
    <mergeCell ref="I314:J314"/>
    <mergeCell ref="K314:M314"/>
    <mergeCell ref="N314:O314"/>
    <mergeCell ref="P314:R314"/>
    <mergeCell ref="I309:J309"/>
    <mergeCell ref="K309:M309"/>
    <mergeCell ref="N309:O309"/>
    <mergeCell ref="P309:R309"/>
    <mergeCell ref="I310:J310"/>
    <mergeCell ref="K310:M310"/>
    <mergeCell ref="N310:O310"/>
    <mergeCell ref="P310:R310"/>
    <mergeCell ref="I311:J311"/>
    <mergeCell ref="K311:M311"/>
    <mergeCell ref="N311:O311"/>
    <mergeCell ref="P311:R311"/>
    <mergeCell ref="I321:J321"/>
    <mergeCell ref="K321:M321"/>
    <mergeCell ref="N321:O321"/>
    <mergeCell ref="P321:R321"/>
    <mergeCell ref="I318:J318"/>
    <mergeCell ref="K318:M318"/>
    <mergeCell ref="N318:O318"/>
    <mergeCell ref="P318:R318"/>
    <mergeCell ref="I319:J319"/>
    <mergeCell ref="K319:M319"/>
    <mergeCell ref="N319:O319"/>
    <mergeCell ref="P319:R319"/>
    <mergeCell ref="I320:J320"/>
    <mergeCell ref="K320:M320"/>
    <mergeCell ref="N320:O320"/>
    <mergeCell ref="P320:R320"/>
    <mergeCell ref="I315:J315"/>
    <mergeCell ref="K315:M315"/>
    <mergeCell ref="N315:O315"/>
    <mergeCell ref="P315:R315"/>
    <mergeCell ref="I316:J316"/>
    <mergeCell ref="K316:M316"/>
    <mergeCell ref="N316:O316"/>
    <mergeCell ref="P316:R316"/>
    <mergeCell ref="I317:J317"/>
    <mergeCell ref="K317:M317"/>
    <mergeCell ref="N317:O317"/>
    <mergeCell ref="P317:R317"/>
  </mergeCells>
  <conditionalFormatting sqref="E71">
    <cfRule type="expression" dxfId="32" priority="24">
      <formula>$E$72&lt;&gt;""</formula>
    </cfRule>
  </conditionalFormatting>
  <conditionalFormatting sqref="F71">
    <cfRule type="expression" dxfId="31" priority="23">
      <formula>$E$72&lt;&gt;""</formula>
    </cfRule>
  </conditionalFormatting>
  <conditionalFormatting sqref="G71">
    <cfRule type="expression" dxfId="30" priority="22">
      <formula>$E$72&lt;&gt;""</formula>
    </cfRule>
  </conditionalFormatting>
  <conditionalFormatting sqref="H71">
    <cfRule type="expression" dxfId="29" priority="21">
      <formula>$E$72&lt;&gt;""</formula>
    </cfRule>
  </conditionalFormatting>
  <conditionalFormatting sqref="I71:J71">
    <cfRule type="expression" dxfId="28" priority="20">
      <formula>$E$72&lt;&gt;""</formula>
    </cfRule>
  </conditionalFormatting>
  <conditionalFormatting sqref="K71:M71">
    <cfRule type="expression" dxfId="27" priority="19">
      <formula>$E$72&lt;&gt;""</formula>
    </cfRule>
  </conditionalFormatting>
  <conditionalFormatting sqref="N71:O71">
    <cfRule type="expression" dxfId="26" priority="18">
      <formula>$E$72&lt;&gt;""</formula>
    </cfRule>
  </conditionalFormatting>
  <conditionalFormatting sqref="P71:R71">
    <cfRule type="expression" dxfId="25" priority="17">
      <formula>$E$72&lt;&gt;""</formula>
    </cfRule>
  </conditionalFormatting>
  <conditionalFormatting sqref="E72">
    <cfRule type="expression" dxfId="24" priority="16">
      <formula>$E72&lt;&gt;""</formula>
    </cfRule>
  </conditionalFormatting>
  <conditionalFormatting sqref="F72:F321">
    <cfRule type="expression" dxfId="23" priority="15">
      <formula>$E72&lt;&gt;""</formula>
    </cfRule>
  </conditionalFormatting>
  <conditionalFormatting sqref="I72:J321">
    <cfRule type="expression" dxfId="22" priority="14">
      <formula>$E72&lt;&gt;""</formula>
    </cfRule>
  </conditionalFormatting>
  <conditionalFormatting sqref="K72:M72">
    <cfRule type="expression" dxfId="21" priority="13">
      <formula>$E72&lt;&gt;""</formula>
    </cfRule>
  </conditionalFormatting>
  <conditionalFormatting sqref="N72:O321">
    <cfRule type="expression" dxfId="20" priority="12">
      <formula>$E72&lt;&gt;""</formula>
    </cfRule>
  </conditionalFormatting>
  <conditionalFormatting sqref="P72:R72">
    <cfRule type="expression" dxfId="19" priority="11">
      <formula>$E72&lt;&gt;""</formula>
    </cfRule>
  </conditionalFormatting>
  <conditionalFormatting sqref="G72:G321">
    <cfRule type="expression" dxfId="18" priority="10">
      <formula>$E72&lt;&gt;""</formula>
    </cfRule>
  </conditionalFormatting>
  <conditionalFormatting sqref="H72:H321">
    <cfRule type="expression" dxfId="17" priority="9">
      <formula>$E72&lt;&gt;""</formula>
    </cfRule>
  </conditionalFormatting>
  <conditionalFormatting sqref="E73:E321">
    <cfRule type="expression" dxfId="16" priority="8">
      <formula>$E73&lt;&gt;""</formula>
    </cfRule>
  </conditionalFormatting>
  <conditionalFormatting sqref="K73:M321">
    <cfRule type="expression" dxfId="15" priority="5">
      <formula>$E73&lt;&gt;""</formula>
    </cfRule>
  </conditionalFormatting>
  <conditionalFormatting sqref="P73:R321">
    <cfRule type="expression" dxfId="14" priority="3">
      <formula>$E73&lt;&gt;""</formula>
    </cfRule>
  </conditionalFormatting>
  <dataValidations disablePrompts="1" count="1">
    <dataValidation type="list" operator="equal" allowBlank="1" showInputMessage="1" showErrorMessage="1" sqref="E35">
      <formula1>$F$24:$F$35</formula1>
      <formula2>0</formula2>
    </dataValidation>
  </dataValidations>
  <hyperlinks>
    <hyperlink ref="A3" location="'0_Datos generales organización'!A1" display="0. Datos de la organización"/>
    <hyperlink ref="A4" location="'1_Combustibles fósiles'!A1" display="1. HC Alcance 1: Comb. fósiles"/>
    <hyperlink ref="A6" location="'2_Fluorados'!A1" display="2. HC Alcance 1: Fugas fluorados"/>
    <hyperlink ref="A8" location="'3_Emisiones proceso'!A1" display="3. HC Alcance 1: Emisiones proceso"/>
    <hyperlink ref="A10" location="'4.1_Electricidad Illes Balears'!A1" display="4.1 HC 2: Electricidad I. Balears"/>
    <hyperlink ref="A12" location="'4.2_Electricidad España'!A1" display="4.2 HC 2: Electricidad España"/>
    <hyperlink ref="A14" location="'5_Información adicional'!A1" display="5. Inf. adicional: renovables"/>
    <hyperlink ref="A16" location="'6.2_Resultados España'!A1" display="6.2 Informe final: Resultados España"/>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559</TotalTime>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49</vt:i4>
      </vt:variant>
    </vt:vector>
  </HeadingPairs>
  <TitlesOfParts>
    <vt:vector size="60" baseType="lpstr">
      <vt:lpstr>PORTADA</vt:lpstr>
      <vt:lpstr>0_Datos generales organización</vt:lpstr>
      <vt:lpstr>1_Combustibles fósiles</vt:lpstr>
      <vt:lpstr>2_Fluorados</vt:lpstr>
      <vt:lpstr>3_Emisiones proceso</vt:lpstr>
      <vt:lpstr>4.1_Electricidad Illes Balears</vt:lpstr>
      <vt:lpstr>4.2_Electricidad España</vt:lpstr>
      <vt:lpstr>5_Información adicional</vt:lpstr>
      <vt:lpstr>6.1_Resultados Illes Balears</vt:lpstr>
      <vt:lpstr>6.2_Resultados España</vt:lpstr>
      <vt:lpstr>Dades</vt:lpstr>
      <vt:lpstr>_Com2011</vt:lpstr>
      <vt:lpstr>_Com2012</vt:lpstr>
      <vt:lpstr>_Com2013</vt:lpstr>
      <vt:lpstr>_Com2014</vt:lpstr>
      <vt:lpstr>_Com2015</vt:lpstr>
      <vt:lpstr>_Com2016</vt:lpstr>
      <vt:lpstr>_Com2017</vt:lpstr>
      <vt:lpstr>_Com2018</vt:lpstr>
      <vt:lpstr>_Com2019</vt:lpstr>
      <vt:lpstr>_Com2020</vt:lpstr>
      <vt:lpstr>_Mix2011</vt:lpstr>
      <vt:lpstr>_Mix2012</vt:lpstr>
      <vt:lpstr>_Mix2013</vt:lpstr>
      <vt:lpstr>_Mix2014</vt:lpstr>
      <vt:lpstr>_Mix2015</vt:lpstr>
      <vt:lpstr>_Mix2016</vt:lpstr>
      <vt:lpstr>_Mix2017</vt:lpstr>
      <vt:lpstr>_Mix2018</vt:lpstr>
      <vt:lpstr>_Mix2019</vt:lpstr>
      <vt:lpstr>_Mix2020</vt:lpstr>
      <vt:lpstr>_MixIB</vt:lpstr>
      <vt:lpstr>Año</vt:lpstr>
      <vt:lpstr>GdO_1</vt:lpstr>
      <vt:lpstr>GdO_2</vt:lpstr>
      <vt:lpstr>Lista_Comb_fósiles_fijos_2011</vt:lpstr>
      <vt:lpstr>Lista_Comb_fósiles_fijos_2012</vt:lpstr>
      <vt:lpstr>Lista_Comb_fósiles_fijos_2013</vt:lpstr>
      <vt:lpstr>Lista_Comb_fósiles_fijos_2014</vt:lpstr>
      <vt:lpstr>Lista_Comb_fósiles_fijos_2015</vt:lpstr>
      <vt:lpstr>Lista_Comb_fósiles_fijos_2016</vt:lpstr>
      <vt:lpstr>Lista_Comb_fósiles_fijos_2017</vt:lpstr>
      <vt:lpstr>Lista_Comb_fósiles_fijos_2018</vt:lpstr>
      <vt:lpstr>Lista_Comb_fósiles_fijos_2019</vt:lpstr>
      <vt:lpstr>Lista_Comb_fósiles_fijos_2020</vt:lpstr>
      <vt:lpstr>Lista_Comb_fósiles_vehículos_2011</vt:lpstr>
      <vt:lpstr>Lista_Comb_fósiles_vehículos_2012</vt:lpstr>
      <vt:lpstr>Lista_Comb_fósiles_vehículos_2013</vt:lpstr>
      <vt:lpstr>Lista_Comb_fósiles_vehículos_2014</vt:lpstr>
      <vt:lpstr>Lista_Comb_fósiles_vehículos_2015</vt:lpstr>
      <vt:lpstr>Lista_Comb_fósiles_vehículos_2016</vt:lpstr>
      <vt:lpstr>Lista_Comb_fósiles_vehículos_2017</vt:lpstr>
      <vt:lpstr>Lista_Comb_fósiles_vehículos_2018</vt:lpstr>
      <vt:lpstr>Lista_Comb_fósiles_vehículos_2019</vt:lpstr>
      <vt:lpstr>Lista_Comb_fósiles_vehículos_2020</vt:lpstr>
      <vt:lpstr>NombrePrep</vt:lpstr>
      <vt:lpstr>Sector</vt:lpstr>
      <vt:lpstr>Tipo_Biomasa</vt:lpstr>
      <vt:lpstr>Tipo_ER</vt:lpstr>
      <vt:lpstr>TipoOrg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c:creator>
  <dc:description/>
  <cp:lastModifiedBy>CARLOS</cp:lastModifiedBy>
  <cp:revision>68</cp:revision>
  <cp:lastPrinted>2017-01-23T16:49:14Z</cp:lastPrinted>
  <dcterms:created xsi:type="dcterms:W3CDTF">2012-12-08T19:19:39Z</dcterms:created>
  <dcterms:modified xsi:type="dcterms:W3CDTF">2022-06-20T20:29:11Z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